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hackernoon\"/>
    </mc:Choice>
  </mc:AlternateContent>
  <xr:revisionPtr revIDLastSave="0" documentId="8_{27180721-CF23-428F-8FAE-629204250493}" xr6:coauthVersionLast="47" xr6:coauthVersionMax="47" xr10:uidLastSave="{00000000-0000-0000-0000-000000000000}"/>
  <bookViews>
    <workbookView xWindow="18580" yWindow="0" windowWidth="19960" windowHeight="21600" xr2:uid="{00000000-000D-0000-FFFF-FFFF00000000}"/>
  </bookViews>
  <sheets>
    <sheet name="Calculator with ROI" sheetId="7" r:id="rId1"/>
    <sheet name="Quick 30-Min Audit" sheetId="1" r:id="rId2"/>
    <sheet name="Full Framework Tracker" sheetId="2" r:id="rId3"/>
    <sheet name="Revenue Impact Calculator" sheetId="3" r:id="rId4"/>
    <sheet name="Bias Pattern Log" sheetId="4" r:id="rId5"/>
    <sheet name="Example Data" sheetId="5" r:id="rId6"/>
    <sheet name="Instructions Link"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 l="1"/>
  <c r="H7" i="5"/>
  <c r="H8" i="5"/>
  <c r="H9" i="5"/>
  <c r="H5" i="5"/>
  <c r="G6" i="5"/>
  <c r="G7" i="5"/>
  <c r="G8" i="5"/>
  <c r="G9" i="5"/>
  <c r="G5" i="5"/>
  <c r="D31" i="3"/>
  <c r="D32" i="3"/>
  <c r="D30" i="3"/>
  <c r="A58" i="7"/>
  <c r="G15" i="7"/>
  <c r="E15" i="7"/>
  <c r="C3" i="1"/>
  <c r="C4" i="1"/>
  <c r="C5" i="1"/>
  <c r="C6" i="1"/>
  <c r="C2" i="1"/>
  <c r="C25" i="7"/>
  <c r="E2" i="1"/>
  <c r="E3" i="1" s="1"/>
  <c r="B3" i="1"/>
  <c r="B4" i="1"/>
  <c r="B5" i="1"/>
  <c r="B6" i="1"/>
  <c r="B2" i="1"/>
  <c r="A3" i="1"/>
  <c r="A4" i="1"/>
  <c r="A5" i="1"/>
  <c r="A6" i="1"/>
  <c r="A2" i="1"/>
  <c r="G50" i="7"/>
  <c r="F50" i="7"/>
  <c r="C50" i="7"/>
  <c r="E50" i="7" s="1"/>
  <c r="G49" i="7"/>
  <c r="F49" i="7"/>
  <c r="C49" i="7"/>
  <c r="D49" i="7" s="1"/>
  <c r="H49" i="7" s="1"/>
  <c r="G48" i="7"/>
  <c r="F48" i="7"/>
  <c r="C48" i="7"/>
  <c r="E48" i="7" s="1"/>
  <c r="G47" i="7"/>
  <c r="F47" i="7"/>
  <c r="C47" i="7"/>
  <c r="E47" i="7" s="1"/>
  <c r="H42" i="7"/>
  <c r="F42" i="7"/>
  <c r="D42" i="7"/>
  <c r="E42" i="7" s="1"/>
  <c r="H41" i="7"/>
  <c r="D41" i="7"/>
  <c r="E41" i="7" s="1"/>
  <c r="H40" i="7"/>
  <c r="D40" i="7"/>
  <c r="E40" i="7" s="1"/>
  <c r="H39" i="7"/>
  <c r="D39" i="7"/>
  <c r="E39" i="7" s="1"/>
  <c r="H38" i="7"/>
  <c r="D38" i="7"/>
  <c r="E38" i="7" s="1"/>
  <c r="B25" i="7"/>
  <c r="G24" i="7"/>
  <c r="I6" i="1" s="1"/>
  <c r="F24" i="7"/>
  <c r="H6" i="1" s="1"/>
  <c r="G23" i="7"/>
  <c r="I5" i="1" s="1"/>
  <c r="F23" i="7"/>
  <c r="H5" i="1" s="1"/>
  <c r="G22" i="7"/>
  <c r="I4" i="1" s="1"/>
  <c r="F22" i="7"/>
  <c r="H4" i="1" s="1"/>
  <c r="G21" i="7"/>
  <c r="I3" i="1" s="1"/>
  <c r="F21" i="7"/>
  <c r="H3" i="1" s="1"/>
  <c r="G20" i="7"/>
  <c r="I2" i="1" s="1"/>
  <c r="F20" i="7"/>
  <c r="H2" i="1" s="1"/>
  <c r="B13" i="7"/>
  <c r="D24" i="7" s="1"/>
  <c r="I24" i="7" s="1"/>
  <c r="B8" i="7"/>
  <c r="C33" i="7" s="1"/>
  <c r="D10" i="5"/>
  <c r="C10" i="5"/>
  <c r="B10" i="5"/>
  <c r="I9" i="5"/>
  <c r="E9" i="5"/>
  <c r="I8" i="5"/>
  <c r="E8" i="5"/>
  <c r="I7" i="5"/>
  <c r="E7" i="5"/>
  <c r="I6" i="5"/>
  <c r="E6" i="5"/>
  <c r="I5" i="5"/>
  <c r="E5" i="5"/>
  <c r="B14" i="4"/>
  <c r="B13" i="4"/>
  <c r="B12" i="4"/>
  <c r="J3" i="4"/>
  <c r="A3" i="4"/>
  <c r="J2" i="4"/>
  <c r="A2" i="4"/>
  <c r="C30" i="3"/>
  <c r="C17" i="3"/>
  <c r="C32" i="3" s="1"/>
  <c r="C12" i="3"/>
  <c r="C11" i="3"/>
  <c r="C7" i="3"/>
  <c r="B23" i="2"/>
  <c r="B21" i="2"/>
  <c r="B20" i="2"/>
  <c r="B22" i="2" s="1"/>
  <c r="B19" i="2"/>
  <c r="P2" i="1"/>
  <c r="P3" i="1" s="1"/>
  <c r="P4" i="1" s="1"/>
  <c r="P5" i="1" s="1"/>
  <c r="P6" i="1" s="1"/>
  <c r="B7" i="1" l="1"/>
  <c r="K2" i="1"/>
  <c r="L2" i="1" s="1"/>
  <c r="M2" i="1" s="1"/>
  <c r="K3" i="1"/>
  <c r="L3" i="1" s="1"/>
  <c r="M3" i="1" s="1"/>
  <c r="F3" i="1"/>
  <c r="F5" i="1"/>
  <c r="D6" i="1"/>
  <c r="C7" i="1"/>
  <c r="F2" i="1"/>
  <c r="F6" i="1"/>
  <c r="F4" i="1"/>
  <c r="F40" i="7"/>
  <c r="E20" i="7"/>
  <c r="G2" i="1" s="1"/>
  <c r="E24" i="7"/>
  <c r="G6" i="1" s="1"/>
  <c r="H24" i="7"/>
  <c r="J6" i="1" s="1"/>
  <c r="D47" i="7"/>
  <c r="H47" i="7" s="1"/>
  <c r="D20" i="7"/>
  <c r="D2" i="1" s="1"/>
  <c r="D21" i="7"/>
  <c r="E21" i="7"/>
  <c r="G3" i="1" s="1"/>
  <c r="E49" i="7"/>
  <c r="E22" i="7"/>
  <c r="G4" i="1" s="1"/>
  <c r="H21" i="7"/>
  <c r="J3" i="1" s="1"/>
  <c r="D50" i="7"/>
  <c r="H50" i="7" s="1"/>
  <c r="D48" i="7"/>
  <c r="H48" i="7" s="1"/>
  <c r="F39" i="7"/>
  <c r="F41" i="7"/>
  <c r="H20" i="7"/>
  <c r="J2" i="1" s="1"/>
  <c r="F38" i="7"/>
  <c r="D22" i="7"/>
  <c r="H22" i="7"/>
  <c r="J4" i="1" s="1"/>
  <c r="D23" i="7"/>
  <c r="E23" i="7"/>
  <c r="G5" i="1" s="1"/>
  <c r="H23" i="7"/>
  <c r="J5" i="1" s="1"/>
  <c r="E4" i="1"/>
  <c r="B11" i="4"/>
  <c r="C21" i="3"/>
  <c r="C31" i="3"/>
  <c r="N2" i="1" l="1"/>
  <c r="N3" i="1"/>
  <c r="I23" i="7"/>
  <c r="D5" i="1"/>
  <c r="I21" i="7"/>
  <c r="D3" i="1"/>
  <c r="I22" i="7"/>
  <c r="D4" i="1"/>
  <c r="I20" i="7"/>
  <c r="I25" i="7" s="1"/>
  <c r="D25" i="7"/>
  <c r="E5" i="1"/>
  <c r="K4" i="1"/>
  <c r="L4" i="1" s="1"/>
  <c r="M4" i="1" s="1"/>
  <c r="N4" i="1" s="1"/>
  <c r="F31" i="3"/>
  <c r="G31" i="3" s="1"/>
  <c r="F32" i="3"/>
  <c r="G32" i="3" s="1"/>
  <c r="F30" i="3"/>
  <c r="G30" i="3" s="1"/>
  <c r="C23" i="3"/>
  <c r="C25" i="3" s="1"/>
  <c r="A55" i="7" l="1"/>
  <c r="B29" i="7"/>
  <c r="E6" i="1"/>
  <c r="K6" i="1" s="1"/>
  <c r="L6" i="1" s="1"/>
  <c r="M6" i="1" s="1"/>
  <c r="N6" i="1" s="1"/>
  <c r="K5" i="1"/>
  <c r="L5" i="1" s="1"/>
  <c r="M5" i="1" s="1"/>
  <c r="N5" i="1" s="1"/>
  <c r="C29" i="7" l="1"/>
  <c r="C30" i="7"/>
  <c r="C31" i="7"/>
  <c r="B10" i="1"/>
  <c r="B12" i="1"/>
  <c r="B11" i="1"/>
  <c r="B13" i="1"/>
  <c r="A57" i="7" l="1"/>
  <c r="A56" i="7"/>
  <c r="C32" i="7"/>
  <c r="E33" i="7" s="1"/>
  <c r="A6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Dennis Consorte</author>
  </authors>
  <commentList>
    <comment ref="B15" authorId="0" shapeId="0" xr:uid="{12FFB98F-8DFA-4136-AFCE-7F9182967FEC}">
      <text>
        <r>
          <rPr>
            <b/>
            <sz val="9"/>
            <color indexed="81"/>
            <rFont val="Tahoma"/>
            <family val="2"/>
          </rPr>
          <t>Dennis Consorte:</t>
        </r>
        <r>
          <rPr>
            <sz val="9"/>
            <color indexed="81"/>
            <rFont val="Tahoma"/>
            <family val="2"/>
          </rPr>
          <t xml:space="preserve">
This is the actual number of conversions you are analyzing.
</t>
        </r>
        <r>
          <rPr>
            <b/>
            <sz val="9"/>
            <color indexed="81"/>
            <rFont val="Tahoma"/>
            <family val="2"/>
          </rPr>
          <t xml:space="preserve">Note: </t>
        </r>
        <r>
          <rPr>
            <sz val="9"/>
            <color indexed="81"/>
            <rFont val="Tahoma"/>
            <family val="2"/>
          </rPr>
          <t>After running calculations in Section 3 below, you may need to have more data to get accurate results, unless you loosen the parameters above. For example, you can set the Confidence Level to 90% to require a lesser sample size. However, you should really try for 95% or above if at all possible.</t>
        </r>
      </text>
    </comment>
    <comment ref="C19" authorId="0" shapeId="0" xr:uid="{82BF5C3A-13E0-4637-AB1D-6C3671574854}">
      <text>
        <r>
          <rPr>
            <b/>
            <sz val="9"/>
            <color indexed="81"/>
            <rFont val="Tahoma"/>
            <family val="2"/>
          </rPr>
          <t>Dennis Consorte:</t>
        </r>
        <r>
          <rPr>
            <sz val="9"/>
            <color indexed="81"/>
            <rFont val="Tahoma"/>
            <family val="2"/>
          </rPr>
          <t xml:space="preserve">
% of actual conversions</t>
        </r>
      </text>
    </comment>
    <comment ref="B25" authorId="0" shapeId="0" xr:uid="{FD057C78-C2DE-4B28-9EB7-B58B167EA4B9}">
      <text>
        <r>
          <rPr>
            <b/>
            <sz val="9"/>
            <color indexed="81"/>
            <rFont val="Tahoma"/>
            <family val="2"/>
          </rPr>
          <t>Dennis Consorte:</t>
        </r>
        <r>
          <rPr>
            <sz val="9"/>
            <color indexed="81"/>
            <rFont val="Tahoma"/>
            <family val="2"/>
          </rPr>
          <t xml:space="preserve">
Total should add up to 100%</t>
        </r>
      </text>
    </comment>
    <comment ref="C25" authorId="0" shapeId="0" xr:uid="{B2414E5D-E85B-4399-A780-4F9BCF789E6B}">
      <text>
        <r>
          <rPr>
            <b/>
            <sz val="9"/>
            <color indexed="81"/>
            <rFont val="Tahoma"/>
            <family val="2"/>
          </rPr>
          <t>Dennis Consorte:</t>
        </r>
        <r>
          <rPr>
            <sz val="9"/>
            <color indexed="81"/>
            <rFont val="Tahoma"/>
            <family val="2"/>
          </rPr>
          <t xml:space="preserve">
Total here should add up to 100%</t>
        </r>
      </text>
    </comment>
    <comment ref="D25" authorId="0" shapeId="0" xr:uid="{31F3B47E-8C7F-4900-883B-EDECEF2FE0C9}">
      <text>
        <r>
          <rPr>
            <b/>
            <sz val="9"/>
            <color indexed="81"/>
            <rFont val="Tahoma"/>
            <family val="2"/>
          </rPr>
          <t>Dennis Consorte:</t>
        </r>
        <r>
          <rPr>
            <sz val="9"/>
            <color indexed="81"/>
            <rFont val="Tahoma"/>
            <family val="2"/>
          </rPr>
          <t xml:space="preserve">
Use the maximum value in the column for statistical significance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Dennis Consorte</author>
  </authors>
  <commentList>
    <comment ref="A1" authorId="0" shapeId="0" xr:uid="{0DFDCF59-08DD-4C62-B527-3F75B416951E}">
      <text>
        <r>
          <rPr>
            <b/>
            <sz val="9"/>
            <color indexed="81"/>
            <rFont val="Tahoma"/>
            <family val="2"/>
          </rPr>
          <t>Dennis Consorte:</t>
        </r>
        <r>
          <rPr>
            <sz val="9"/>
            <color indexed="81"/>
            <rFont val="Tahoma"/>
            <family val="2"/>
          </rPr>
          <t xml:space="preserve">
👇 Enter your demographics below</t>
        </r>
      </text>
    </comment>
    <comment ref="B1" authorId="0" shapeId="0" xr:uid="{E59DE88A-CA18-44DB-9AC4-66E5449E924F}">
      <text>
        <r>
          <rPr>
            <b/>
            <sz val="9"/>
            <color indexed="81"/>
            <rFont val="Tahoma"/>
            <family val="2"/>
          </rPr>
          <t>Dennis Consorte:</t>
        </r>
        <r>
          <rPr>
            <sz val="9"/>
            <color indexed="81"/>
            <rFont val="Tahoma"/>
            <family val="2"/>
          </rPr>
          <t xml:space="preserve">
% of your target market</t>
        </r>
      </text>
    </comment>
    <comment ref="C1" authorId="0" shapeId="0" xr:uid="{0BEFA088-0C65-4F92-9086-312B69B4E185}">
      <text>
        <r>
          <rPr>
            <b/>
            <sz val="9"/>
            <color indexed="81"/>
            <rFont val="Tahoma"/>
            <family val="2"/>
          </rPr>
          <t>Dennis Consorte:</t>
        </r>
        <r>
          <rPr>
            <sz val="9"/>
            <color indexed="81"/>
            <rFont val="Tahoma"/>
            <family val="2"/>
          </rPr>
          <t xml:space="preserve">
% of actual conversions</t>
        </r>
      </text>
    </comment>
    <comment ref="E1" authorId="0" shapeId="0" xr:uid="{12A88650-97E8-4E94-8A95-3A25B421FDCE}">
      <text>
        <r>
          <rPr>
            <b/>
            <sz val="9"/>
            <color indexed="81"/>
            <rFont val="Tahoma"/>
            <family val="2"/>
          </rPr>
          <t>Dennis Consorte:</t>
        </r>
        <r>
          <rPr>
            <sz val="9"/>
            <color indexed="81"/>
            <rFont val="Tahoma"/>
            <family val="2"/>
          </rPr>
          <t xml:space="preserve">
HOW TO USE THIS COLUMN:
Enter the total number of conversions you analyzed in cell E2. It will populate all other segment rows with the SAME number (E2:E6).
Example: If you analyzed 1,000 total conversions, 
enter 1000 in E2, and it will populate E3, E4, E5, and E6. If you add or remove rows, drag the formula down or make sure they all contain the same number.
Why? You're analyzing one dataset split by demographics, 
not separate datasets per segment.
Minimum recommended: 1000 for statistical validity.</t>
        </r>
      </text>
    </comment>
    <comment ref="F1" authorId="0" shapeId="0" xr:uid="{8AEE9AC9-EA15-4CD0-BFCF-07463040F71B}">
      <text>
        <r>
          <rPr>
            <b/>
            <sz val="9"/>
            <color indexed="81"/>
            <rFont val="Tahoma"/>
            <family val="2"/>
          </rPr>
          <t>Dennis Consorte:</t>
        </r>
        <r>
          <rPr>
            <sz val="9"/>
            <color indexed="81"/>
            <rFont val="Tahoma"/>
            <family val="2"/>
          </rPr>
          <t xml:space="preserve">
Auto-calculates</t>
        </r>
      </text>
    </comment>
    <comment ref="K1" authorId="0" shapeId="0" xr:uid="{E57B03CA-FDE6-483C-B154-C4EC0B0DC662}">
      <text>
        <r>
          <rPr>
            <b/>
            <sz val="9"/>
            <color indexed="81"/>
            <rFont val="Tahoma"/>
            <family val="2"/>
          </rPr>
          <t>Dennis Consorte:</t>
        </r>
        <r>
          <rPr>
            <sz val="9"/>
            <color indexed="81"/>
            <rFont val="Tahoma"/>
            <family val="2"/>
          </rPr>
          <t xml:space="preserve">
Auto-calculates</t>
        </r>
      </text>
    </comment>
    <comment ref="L1" authorId="0" shapeId="0" xr:uid="{9B5F8584-DB61-4C32-8C59-BF47F2F7FAAD}">
      <text>
        <r>
          <rPr>
            <b/>
            <sz val="9"/>
            <color indexed="81"/>
            <rFont val="Tahoma"/>
            <family val="2"/>
          </rPr>
          <t>Dennis Consorte:</t>
        </r>
        <r>
          <rPr>
            <sz val="9"/>
            <color indexed="81"/>
            <rFont val="Tahoma"/>
            <family val="2"/>
          </rPr>
          <t xml:space="preserve">
Auto-calculates</t>
        </r>
      </text>
    </comment>
    <comment ref="M1" authorId="0" shapeId="0" xr:uid="{D9645C36-3003-485D-A939-37FD2BB767A1}">
      <text>
        <r>
          <rPr>
            <b/>
            <sz val="9"/>
            <color indexed="81"/>
            <rFont val="Tahoma"/>
            <family val="2"/>
          </rPr>
          <t>Dennis Consorte:</t>
        </r>
        <r>
          <rPr>
            <sz val="9"/>
            <color indexed="81"/>
            <rFont val="Tahoma"/>
            <family val="2"/>
          </rPr>
          <t xml:space="preserve">
Auto-calculates, determines whether the test for bias is statistically significant. 
If it's not significant then there is no bias detected.</t>
        </r>
      </text>
    </comment>
    <comment ref="N1" authorId="0" shapeId="0" xr:uid="{46086D34-575D-4735-8EAD-616867A207F4}">
      <text>
        <r>
          <rPr>
            <b/>
            <sz val="9"/>
            <color indexed="81"/>
            <rFont val="Tahoma"/>
            <family val="2"/>
          </rPr>
          <t>Dennis Consorte:</t>
        </r>
        <r>
          <rPr>
            <sz val="9"/>
            <color indexed="81"/>
            <rFont val="Tahoma"/>
            <family val="2"/>
          </rPr>
          <t xml:space="preserve">
Auto-calculates, takes into account statistical significance. If not statistically significant then assumes random noise &amp; no bias.</t>
        </r>
      </text>
    </comment>
    <comment ref="B7" authorId="0" shapeId="0" xr:uid="{4DD98B0C-F25A-47C5-9F00-7BB916CE12CA}">
      <text>
        <r>
          <rPr>
            <b/>
            <sz val="9"/>
            <color indexed="81"/>
            <rFont val="Tahoma"/>
            <family val="2"/>
          </rPr>
          <t>Dennis Consorte:</t>
        </r>
        <r>
          <rPr>
            <sz val="9"/>
            <color indexed="81"/>
            <rFont val="Tahoma"/>
            <family val="2"/>
          </rPr>
          <t xml:space="preserve">
Total here should add up to 100%</t>
        </r>
      </text>
    </comment>
    <comment ref="C7" authorId="0" shapeId="0" xr:uid="{75A70D76-9894-4261-8075-22F4738423DA}">
      <text>
        <r>
          <rPr>
            <b/>
            <sz val="9"/>
            <color indexed="81"/>
            <rFont val="Tahoma"/>
            <family val="2"/>
          </rPr>
          <t>Dennis Consorte:</t>
        </r>
        <r>
          <rPr>
            <sz val="9"/>
            <color indexed="81"/>
            <rFont val="Tahoma"/>
            <family val="2"/>
          </rPr>
          <t xml:space="preserve">
Total here should add up to 100%</t>
        </r>
      </text>
    </comment>
  </commentList>
</comments>
</file>

<file path=xl/sharedStrings.xml><?xml version="1.0" encoding="utf-8"?>
<sst xmlns="http://schemas.openxmlformats.org/spreadsheetml/2006/main" count="343" uniqueCount="287">
  <si>
    <t>Demographic Segment</t>
  </si>
  <si>
    <t>Your TAM %</t>
  </si>
  <si>
    <t>MRI Score</t>
  </si>
  <si>
    <t>Sample Size</t>
  </si>
  <si>
    <t>Z-Score</t>
  </si>
  <si>
    <t>P-Value</t>
  </si>
  <si>
    <t>Stat Sig?</t>
  </si>
  <si>
    <t>Status</t>
  </si>
  <si>
    <t>Notes</t>
  </si>
  <si>
    <t>Date Checked</t>
  </si>
  <si>
    <t>Ages 18-24</t>
  </si>
  <si>
    <t>Ages 25-34</t>
  </si>
  <si>
    <t>Ages 35-50</t>
  </si>
  <si>
    <t>Ages 51-65</t>
  </si>
  <si>
    <t>Ages 65+</t>
  </si>
  <si>
    <t>TOTAL</t>
  </si>
  <si>
    <t>Check totals = 100%</t>
  </si>
  <si>
    <t>SUMMARY METRICS</t>
  </si>
  <si>
    <t>Segments in Critical Range</t>
  </si>
  <si>
    <t>Segments in Warning Range</t>
  </si>
  <si>
    <t>Segments Healthy</t>
  </si>
  <si>
    <t>Overall Health Score</t>
  </si>
  <si>
    <t>MRI SCORE INTERPRETATION:</t>
  </si>
  <si>
    <t>0.85 - 1.15 = ✅ Healthy (within 15% of TAM)</t>
  </si>
  <si>
    <t>0.70 - 0.84 = ⚠️ Warning (needs attention)</t>
  </si>
  <si>
    <t>1.16 - 1.30 = ⚠️ Warning (over-represented)</t>
  </si>
  <si>
    <t>&lt; 0.70 = 🚨 Critical (immediate action)</t>
  </si>
  <si>
    <t>&gt; 1.30 = 🚨 Critical (investigate why)</t>
  </si>
  <si>
    <t>Z-TEST INTERPRETATION:</t>
  </si>
  <si>
    <t>P-Value &lt; 0.05 = Statistically significant bias (not random)</t>
  </si>
  <si>
    <t>P-Value ≥ 0.05 = May be normal market variation</t>
  </si>
  <si>
    <t>Prioritize segments with: MRI &lt;0.85 AND P-Value &lt;0.05</t>
  </si>
  <si>
    <t>Step</t>
  </si>
  <si>
    <t>Task</t>
  </si>
  <si>
    <t>Date Started</t>
  </si>
  <si>
    <t>Date Completed</t>
  </si>
  <si>
    <t>Hours Spent</t>
  </si>
  <si>
    <t>Owner</t>
  </si>
  <si>
    <t>1️⃣ MAP</t>
  </si>
  <si>
    <t>Document all data sources</t>
  </si>
  <si>
    <t>Not Started</t>
  </si>
  <si>
    <t>Target: 2 hours</t>
  </si>
  <si>
    <t>Create data lineage diagram</t>
  </si>
  <si>
    <t>CRM → Audience → Ads</t>
  </si>
  <si>
    <t>Note data age &amp; collection method</t>
  </si>
  <si>
    <t>Flag data &gt;3 years old</t>
  </si>
  <si>
    <t>2️⃣ MEASURE</t>
  </si>
  <si>
    <t>Compare to TAM using statistical tests</t>
  </si>
  <si>
    <t>Use census data</t>
  </si>
  <si>
    <t>Document gaps with p-values &lt; 0.05</t>
  </si>
  <si>
    <t>3️⃣ MONITOR</t>
  </si>
  <si>
    <t>Document KPI optimization targets</t>
  </si>
  <si>
    <t>1 hour initial</t>
  </si>
  <si>
    <t>Check if KPIs reward diversity</t>
  </si>
  <si>
    <t>15 min monthly</t>
  </si>
  <si>
    <t>Set up automated alerts</t>
  </si>
  <si>
    <t>When segment &lt;80% TAM</t>
  </si>
  <si>
    <t>4️⃣ MITIGATE</t>
  </si>
  <si>
    <t>Inject balancing data</t>
  </si>
  <si>
    <t>3-5 hours per fix</t>
  </si>
  <si>
    <t>Add diversity constraints</t>
  </si>
  <si>
    <t>Algorithm-level</t>
  </si>
  <si>
    <t>Manual override for underserved</t>
  </si>
  <si>
    <t>Document decisions</t>
  </si>
  <si>
    <t>5️⃣ MAINTAIN</t>
  </si>
  <si>
    <t>Schedule quarterly audits</t>
  </si>
  <si>
    <t>Add to calendar</t>
  </si>
  <si>
    <t>Assign ownership</t>
  </si>
  <si>
    <t>Name responsible person</t>
  </si>
  <si>
    <t>Require executive review</t>
  </si>
  <si>
    <t>4 hours quarterly</t>
  </si>
  <si>
    <t>PROGRESS SUMMARY</t>
  </si>
  <si>
    <t>Total Tasks</t>
  </si>
  <si>
    <t>Completed</t>
  </si>
  <si>
    <t>In Progress</t>
  </si>
  <si>
    <t>Completion %</t>
  </si>
  <si>
    <t>Total Hours Invested</t>
  </si>
  <si>
    <t>REVENUE IMPACT CALCULATOR</t>
  </si>
  <si>
    <t>Quantify the business cost of algorithmic bias in your marketing</t>
  </si>
  <si>
    <t>SECTION A: MARKET SIZE</t>
  </si>
  <si>
    <t>Total Addressable Market (TAM)</t>
  </si>
  <si>
    <t>Enter number:</t>
  </si>
  <si>
    <t>potential customers annually</t>
  </si>
  <si>
    <t>Average Customer Value</t>
  </si>
  <si>
    <t>Enter amount:</t>
  </si>
  <si>
    <t>lifetime value or annual contract value</t>
  </si>
  <si>
    <t>Total Market Opportunity</t>
  </si>
  <si>
    <t>Auto-calculated:</t>
  </si>
  <si>
    <t>TAM × Average Value</t>
  </si>
  <si>
    <t>SECTION B: CURRENT PERFORMANCE</t>
  </si>
  <si>
    <t>Current Annual Conversions</t>
  </si>
  <si>
    <t>total conversions last 12 months</t>
  </si>
  <si>
    <t>Current Conversion Rate</t>
  </si>
  <si>
    <t>Current Conv ÷ TAM</t>
  </si>
  <si>
    <t>Current Annual Revenue</t>
  </si>
  <si>
    <t>Current Conv × Avg Value</t>
  </si>
  <si>
    <t>Under-Represented Segment % of TAM</t>
  </si>
  <si>
    <t>Enter from Tab 1:</t>
  </si>
  <si>
    <t>Example: Ages 51+ = 30% of TAM</t>
  </si>
  <si>
    <t>Current Coverage of This Segment</t>
  </si>
  <si>
    <t>Example: Actually reaching 12%</t>
  </si>
  <si>
    <t>Gap (Under-Representation)</t>
  </si>
  <si>
    <t>Missing this % of TAM</t>
  </si>
  <si>
    <t>P-Value from Z-Test</t>
  </si>
  <si>
    <t>Statistical significance (should be &lt;0.05)</t>
  </si>
  <si>
    <t>SECTION D: REVENUE IMPACT</t>
  </si>
  <si>
    <t>Potential Additional Customers</t>
  </si>
  <si>
    <t>TAM × Gap</t>
  </si>
  <si>
    <t>Conservative Capture Rate (25%)</t>
  </si>
  <si>
    <t>Assumption:</t>
  </si>
  <si>
    <t>Assuming you capture 25% of gap</t>
  </si>
  <si>
    <t>Potential Additional Revenue</t>
  </si>
  <si>
    <t>Add'l Customers × Capture Rate × Avg Value</t>
  </si>
  <si>
    <t>💰 ANNUAL REVENUE AT RISK</t>
  </si>
  <si>
    <t>← Show this to leadership</t>
  </si>
  <si>
    <t>SCENARIO ANALYSIS: Different Fix Strategies</t>
  </si>
  <si>
    <t>Scenario</t>
  </si>
  <si>
    <t>Capture Rate</t>
  </si>
  <si>
    <t>Coverage Improvement</t>
  </si>
  <si>
    <t>Add'l Revenue</t>
  </si>
  <si>
    <t>Implementation Cost</t>
  </si>
  <si>
    <t>Net Benefit</t>
  </si>
  <si>
    <t>ROI</t>
  </si>
  <si>
    <t>Conservative</t>
  </si>
  <si>
    <t>25%</t>
  </si>
  <si>
    <t>Moderate</t>
  </si>
  <si>
    <t>50%</t>
  </si>
  <si>
    <t>Aggressive</t>
  </si>
  <si>
    <t>75%</t>
  </si>
  <si>
    <t>HOW TO USE THIS CALCULATOR:</t>
  </si>
  <si>
    <t>1. Fill in Section A with your market size data</t>
  </si>
  <si>
    <t>2. Fill in Section B with your current performance</t>
  </si>
  <si>
    <t>3. Pull Section C data from your Quick Audit (Tab 1) - use segments with p-value &lt;0.05</t>
  </si>
  <si>
    <t>4. Review auto-calculated revenue impact in Section D</t>
  </si>
  <si>
    <t>5. Adjust implementation costs in Scenario Analysis table (column E)</t>
  </si>
  <si>
    <t>6. Show the "Annual Revenue at Risk" to leadership to justify bias correction investment</t>
  </si>
  <si>
    <t>KEY INSIGHT: Only include bias patterns that are statistically confirmed (p-value &lt;0.05 in Tab 1).</t>
  </si>
  <si>
    <t>Random market variations won't produce reliable revenue projections.</t>
  </si>
  <si>
    <t>Date</t>
  </si>
  <si>
    <t>Channel/Tool</t>
  </si>
  <si>
    <t>Bias Type</t>
  </si>
  <si>
    <t>Affected Segment</t>
  </si>
  <si>
    <t>Description</t>
  </si>
  <si>
    <t>Root Cause</t>
  </si>
  <si>
    <t>Fix Applied</t>
  </si>
  <si>
    <t>Follow-Up Date</t>
  </si>
  <si>
    <t>Google Ads</t>
  </si>
  <si>
    <t>Data Representation</t>
  </si>
  <si>
    <t>Ages 51+</t>
  </si>
  <si>
    <t>Older demos excluded from Performance Max</t>
  </si>
  <si>
    <t>Lookalike trained on young converters</t>
  </si>
  <si>
    <t>Added age-diverse audience signals</t>
  </si>
  <si>
    <t>Fixed</t>
  </si>
  <si>
    <t>HubSpot Lead Scoring</t>
  </si>
  <si>
    <t>Automation Bias</t>
  </si>
  <si>
    <t>Female leads</t>
  </si>
  <si>
    <t>Women scored lower despite similar behavior</t>
  </si>
  <si>
    <t>Model trained on male-heavy enterprise</t>
  </si>
  <si>
    <t>Added diversity override rule</t>
  </si>
  <si>
    <t>Total Biases Identified</t>
  </si>
  <si>
    <t>Currently Active</t>
  </si>
  <si>
    <t>Fixed &amp; Monitoring</t>
  </si>
  <si>
    <t>Closed</t>
  </si>
  <si>
    <t>EXAMPLE SCENARIO: B2B SaaS Company</t>
  </si>
  <si>
    <t>Product: Project management software for teams</t>
  </si>
  <si>
    <t>Company Size</t>
  </si>
  <si>
    <t>TAM %</t>
  </si>
  <si>
    <t>Actual Conversions</t>
  </si>
  <si>
    <t>Actual %</t>
  </si>
  <si>
    <t>1-10 employees</t>
  </si>
  <si>
    <t>11-50 employees</t>
  </si>
  <si>
    <t>51-200 employees</t>
  </si>
  <si>
    <t>201-1000 employees</t>
  </si>
  <si>
    <t>1000+ employees</t>
  </si>
  <si>
    <t>ANALYSIS:</t>
  </si>
  <si>
    <t>• Algorithm strongly favors mid-size (11-200) - statistically significant</t>
  </si>
  <si>
    <t>• Severely under-indexes small companies (1-10) - p &lt; 0.001</t>
  </si>
  <si>
    <t>• Over-indexes on medium companies at expense of breadth</t>
  </si>
  <si>
    <t>• Revenue Impact: Missing 28% of addressable market (verified by z-test)</t>
  </si>
  <si>
    <t>LIKELY ROOT CAUSES:</t>
  </si>
  <si>
    <t>• Lookalike audiences built from initial customer base (mid-market focused)</t>
  </si>
  <si>
    <t>• Lead scoring trained on 'fastest converters' (mid-market)</t>
  </si>
  <si>
    <t>• Ad creative optimized for 'team collaboration' (excludes solopreneurs)</t>
  </si>
  <si>
    <t>RECOMMENDED FIXES:</t>
  </si>
  <si>
    <t>1. Create separate ad sets targeting 1-10 employee companies</t>
  </si>
  <si>
    <t>2. Develop content specifically for solopreneurs / freelancers</t>
  </si>
  <si>
    <t>3. Adjust lead scoring to not penalize small company size</t>
  </si>
  <si>
    <t>4. Force 30% of budget to under-represented segments</t>
  </si>
  <si>
    <t>Bias-Debt Audit Template</t>
  </si>
  <si>
    <t>Created by Dennis Consorte</t>
  </si>
  <si>
    <t>https://dennisconsorte.com/bias-debt-framework/</t>
  </si>
  <si>
    <t>WHAT THE NUMBERS MEAN:</t>
  </si>
  <si>
    <t>- MRI (Column D) = Market Representation Index - measures how well you're reaching each segment vs. your target</t>
  </si>
  <si>
    <t>- Z-Score (Column F) = Statistical test value showing how far your actual performance is from expected</t>
  </si>
  <si>
    <t>- P-Value (Column G) = Probability the gap is due to random chance (lower = more likely to be real bias)</t>
  </si>
  <si>
    <t>- Stat Sig? (Column H) = "Yes" means this is confirmed bias, not random variation. "No" means it may be normal market fluctuation</t>
  </si>
  <si>
    <t>- Status (Column I) = Auto-assigned priority based on MRI thresholds (Critical/Warning/Healthy)</t>
  </si>
  <si>
    <t>Run MRI (Market Representation Index) + z-test audit (see Tab 1)</t>
  </si>
  <si>
    <t>Per channel, quarterly. Focus on segments with p-value &lt;0.05</t>
  </si>
  <si>
    <t>SECTION C: BIAS ANALYSIS (From Tab 1: Quick Audit - Use MRI scores)</t>
  </si>
  <si>
    <t>Flag MRI &lt;0.70 or &gt;1.30</t>
  </si>
  <si>
    <t>Actual Conversions %</t>
  </si>
  <si>
    <t>All other fields autocalculate</t>
  </si>
  <si>
    <t>Orange fields are editable</t>
  </si>
  <si>
    <t>BIAS DETECTION CALCULATOR WITH BUSINESS IMPACT ANALYSIS</t>
  </si>
  <si>
    <t>Calculate sample size, MRI thresholds, and real-world costs/benefits</t>
  </si>
  <si>
    <t>SECTION 1: YOUR BUSINESS METRICS</t>
  </si>
  <si>
    <t>← How much you pay to get one conversion</t>
  </si>
  <si>
    <t>Current Monthly Conversions:</t>
  </si>
  <si>
    <t>← Your typical monthly conversion volume</t>
  </si>
  <si>
    <t>Current Monthly Ad Spend:</t>
  </si>
  <si>
    <t>(auto-calculated from CPA × conversions)</t>
  </si>
  <si>
    <t>SECTION 2: STATISTICAL PRECISION TARGET</t>
  </si>
  <si>
    <t>Desired Margin of Error:</t>
  </si>
  <si>
    <t>← ±2% is standard (change to see impact)</t>
  </si>
  <si>
    <t>Confidence Level:</t>
  </si>
  <si>
    <t>(95% = standard)</t>
  </si>
  <si>
    <t>Z-critical:</t>
  </si>
  <si>
    <t>(auto: 1.96 for 95%)</t>
  </si>
  <si>
    <t>SECTION 3: SEGMENT ANALYSIS WITH MRI THRESHOLDS</t>
  </si>
  <si>
    <t>Demographic
Segment</t>
  </si>
  <si>
    <t>Min Sample
Needed</t>
  </si>
  <si>
    <t>Healthy
MRI Min</t>
  </si>
  <si>
    <t>Healthy
MRI Max</t>
  </si>
  <si>
    <t>Warning
MRI Min</t>
  </si>
  <si>
    <t>Warning
MRI Max</t>
  </si>
  <si>
    <t>Expected
Revenue</t>
  </si>
  <si>
    <t>TOTALS / MAX VALUES:</t>
  </si>
  <si>
    <t>Use this →</t>
  </si>
  <si>
    <t>SECTION 4: COST &amp; TIMELINE TO COLLECT DATA</t>
  </si>
  <si>
    <t>Metric</t>
  </si>
  <si>
    <t>Calculation</t>
  </si>
  <si>
    <t>Result</t>
  </si>
  <si>
    <t>Impact</t>
  </si>
  <si>
    <t>Samples Needed (max across segments)</t>
  </si>
  <si>
    <t>Target sample size for audit</t>
  </si>
  <si>
    <t>Cost to Acquire Samples</t>
  </si>
  <si>
    <t>Samples × CPA</t>
  </si>
  <si>
    <t>Total ad spend needed for one audit</t>
  </si>
  <si>
    <t>Time to Collect (at current pace)</t>
  </si>
  <si>
    <t>Samples ÷ Monthly Conv</t>
  </si>
  <si>
    <t>How long until you have enough data</t>
  </si>
  <si>
    <t>Monthly Ad Spend Required</t>
  </si>
  <si>
    <t>Cost ÷ Months</t>
  </si>
  <si>
    <t>Average monthly spend needed</t>
  </si>
  <si>
    <t>vs. Your Current Monthly Spend</t>
  </si>
  <si>
    <t>Current Spend</t>
  </si>
  <si>
    <t>SECTION 5: REVENUE IMPACT OF MISSING BIAS</t>
  </si>
  <si>
    <t>If you MISS bias in a 20% segment (e.g., Ages 25-34), what's the cost?</t>
  </si>
  <si>
    <t>True MRI
(Hidden Bias)</t>
  </si>
  <si>
    <t>Actual Conv %
(vs 20% TAM)</t>
  </si>
  <si>
    <t>Customers
Lost/Year</t>
  </si>
  <si>
    <t>Revenue
Lost/Year</t>
  </si>
  <si>
    <t>Would You
Detect It?</t>
  </si>
  <si>
    <t>Severe bias</t>
  </si>
  <si>
    <t>10%</t>
  </si>
  <si>
    <t>Critical bias</t>
  </si>
  <si>
    <t>14%</t>
  </si>
  <si>
    <t>Moderate bias</t>
  </si>
  <si>
    <t>17%</t>
  </si>
  <si>
    <t>Mild bias</t>
  </si>
  <si>
    <t>19%</t>
  </si>
  <si>
    <t>No bias</t>
  </si>
  <si>
    <t>20%</t>
  </si>
  <si>
    <t>SECTION 6: COMPARE PRECISION LEVELS (COST VS SENSITIVITY)</t>
  </si>
  <si>
    <t>See the tradeoff: Higher precision costs more but catches smaller bias</t>
  </si>
  <si>
    <t>Precision
Level</t>
  </si>
  <si>
    <t>Margin
of Error</t>
  </si>
  <si>
    <t>Cost to
Acquire</t>
  </si>
  <si>
    <t>Time to
Collect</t>
  </si>
  <si>
    <t>Smallest MRI
Detectable*</t>
  </si>
  <si>
    <t>Revenue
At Risk**</t>
  </si>
  <si>
    <t>ROI
Multiple</t>
  </si>
  <si>
    <t>Very High</t>
  </si>
  <si>
    <t>High (Recommended)</t>
  </si>
  <si>
    <t>Basic</t>
  </si>
  <si>
    <t>*For a 20% TAM segment | **Assumes missing MRI 0.85 bias in 20% segment over 1 year</t>
  </si>
  <si>
    <t>SECTION 7: RECOMMENDATIONS FOR YOUR BUSINESS</t>
  </si>
  <si>
    <t>Based on your inputs:</t>
  </si>
  <si>
    <t>Decision Framework:</t>
  </si>
  <si>
    <t>Actual Sample Size</t>
  </si>
  <si>
    <t>Min Sample Size Needed</t>
  </si>
  <si>
    <t>Cost Per Acquisition (CPA):</t>
  </si>
  <si>
    <t>Customer Lifetime Value (LTV):</t>
  </si>
  <si>
    <t>← Total revenue per customer</t>
  </si>
  <si>
    <t>Minimum Needed (Calculated)</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</si>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</sst>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mm/dd/yyyy"/>
    <numFmt numFmtId="165" formatCode="0.0000"/>
    <numFmt numFmtId="166" formatCode="\$#,##0"/>
    <numFmt numFmtId="167" formatCode="0.0%"/>
    <numFmt numFmtId="168" formatCode="0.0\x"/>
    <numFmt numFmtId="169" formatCode="\$#,##0.00"/>
    <numFmt numFmtId="170" formatCode="0.000"/>
    <numFmt numFmtId="171" formatCode="#,##0\ &quot;conversions&quot;"/>
    <numFmt numFmtId="172" formatCode="0.0\ &quot;months&quot;"/>
    <numFmt numFmtId="173" formatCode="\$#,##0\ &quot;/month&quot;"/>
    <numFmt numFmtId="174" formatCode="\±0.0%"/>
    <numFmt numFmtId="175" formatCode="0.0\ &quot;mo&quot;"/>
    <numFmt numFmtId="176" formatCode="0.0&quot;x&quot;"/>
    <numFmt numFmtId="177" formatCode="_(* #,##0_);_(* \(#,##0\);_(* &quot;-&quot;??_);_(@_)"/>
  </numFmts>
  <fonts count="25" x14ac:knownFonts="1">
    <font>
      <sz val="11"/>
      <color theme="1"/>
      <name val="Calibri"/>
      <family val="2"/>
      <scheme val="minor"/>
    </font>
    <font>
      <b/>
      <sz val="11"/>
      <color rgb="FFFFFFFF"/>
      <name val="Calibri"/>
      <family val="2"/>
    </font>
    <font>
      <b/>
      <sz val="11"/>
      <name val="Calibri"/>
      <family val="2"/>
    </font>
    <font>
      <b/>
      <sz val="11"/>
      <name val="Calibri"/>
      <family val="2"/>
    </font>
    <font>
      <b/>
      <sz val="14"/>
      <name val="Calibri"/>
      <family val="2"/>
    </font>
    <font>
      <u/>
      <sz val="11"/>
      <color theme="10"/>
      <name val="Calibri"/>
      <family val="2"/>
      <scheme val="minor"/>
    </font>
    <font>
      <b/>
      <sz val="11"/>
      <color rgb="FFFFFFFF"/>
      <name val="Calibri"/>
      <family val="2"/>
    </font>
    <font>
      <b/>
      <sz val="14"/>
      <name val="Calibri"/>
      <family val="2"/>
    </font>
    <font>
      <i/>
      <sz val="10"/>
      <name val="Calibri"/>
      <family val="2"/>
    </font>
    <font>
      <b/>
      <sz val="11"/>
      <name val="Calibri"/>
      <family val="2"/>
    </font>
    <font>
      <b/>
      <sz val="11"/>
      <name val="Calibri"/>
      <family val="2"/>
    </font>
    <font>
      <b/>
      <sz val="11"/>
      <color rgb="FFFF0000"/>
      <name val="Calibri"/>
      <family val="2"/>
    </font>
    <font>
      <b/>
      <sz val="12"/>
      <name val="Calibri"/>
      <family val="2"/>
    </font>
    <font>
      <b/>
      <i/>
      <sz val="11"/>
      <name val="Calibri"/>
      <family val="2"/>
    </font>
    <font>
      <b/>
      <sz val="12"/>
      <color rgb="FFFFFFFF"/>
      <name val="Calibri"/>
      <family val="2"/>
    </font>
    <font>
      <b/>
      <sz val="11"/>
      <color theme="1"/>
      <name val="Calibri"/>
      <family val="2"/>
      <scheme val="minor"/>
    </font>
    <font>
      <sz val="9"/>
      <color indexed="81"/>
      <name val="Tahoma"/>
      <family val="2"/>
    </font>
    <font>
      <b/>
      <sz val="9"/>
      <color indexed="81"/>
      <name val="Tahoma"/>
      <family val="2"/>
    </font>
    <font>
      <i/>
      <sz val="9"/>
      <name val="Calibri"/>
      <family val="2"/>
    </font>
    <font>
      <i/>
      <sz val="8"/>
      <name val="Calibri"/>
      <family val="2"/>
    </font>
    <font>
      <b/>
      <sz val="10"/>
      <name val="Calibri"/>
      <family val="2"/>
    </font>
    <font>
      <sz val="11"/>
      <color theme="1"/>
      <name val="Calibri"/>
      <family val="2"/>
      <scheme val="minor"/>
    </font>
    <font>
      <sz val="12"/>
      <name val="Calibri"/>
      <family val="2"/>
    </font>
    <font>
      <sz val="11"/>
      <name val="Calibri"/>
      <family val="2"/>
    </font>
    <font>
      <b/>
      <sz val="11"/>
      <color theme="1"/>
      <name val="Calibri"/>
      <family val="2"/>
    </font>
  </fonts>
  <fills count="24">
    <fill>
      <patternFill patternType="none"/>
    </fill>
    <fill>
      <patternFill patternType="gray125"/>
    </fill>
    <fill>
      <patternFill patternType="solid">
        <fgColor rgb="FF1F4E78"/>
        <bgColor rgb="FF1F4E78"/>
      </patternFill>
    </fill>
    <fill>
      <patternFill patternType="solid">
        <fgColor rgb="FFD9E1F2"/>
        <bgColor rgb="FFD9E1F2"/>
      </patternFill>
    </fill>
    <fill>
      <patternFill patternType="solid">
        <fgColor rgb="FFE7E6E6"/>
        <bgColor rgb="FFE7E6E6"/>
      </patternFill>
    </fill>
    <fill>
      <patternFill patternType="solid">
        <fgColor rgb="FF4472C4"/>
        <bgColor rgb="FF4472C4"/>
      </patternFill>
    </fill>
    <fill>
      <patternFill patternType="solid">
        <fgColor rgb="FFD9E1F2"/>
        <bgColor rgb="FFD9E1F2"/>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C000"/>
        <bgColor rgb="FFD9E1F2"/>
      </patternFill>
    </fill>
    <fill>
      <patternFill patternType="solid">
        <fgColor rgb="FFFFC000"/>
        <bgColor rgb="FFE7E6E6"/>
      </patternFill>
    </fill>
    <fill>
      <patternFill patternType="solid">
        <fgColor rgb="FFFFC000"/>
        <bgColor rgb="FFFFF2CC"/>
      </patternFill>
    </fill>
    <fill>
      <patternFill patternType="solid">
        <fgColor rgb="FF92D050"/>
        <bgColor rgb="FFE7E6E6"/>
      </patternFill>
    </fill>
    <fill>
      <patternFill patternType="solid">
        <fgColor rgb="FFFFFF93"/>
        <bgColor rgb="FFE7E6E6"/>
      </patternFill>
    </fill>
    <fill>
      <patternFill patternType="solid">
        <fgColor theme="0" tint="-0.14999847407452621"/>
        <bgColor rgb="FFD9E1F2"/>
      </patternFill>
    </fill>
    <fill>
      <patternFill patternType="solid">
        <fgColor theme="0" tint="-0.14999847407452621"/>
        <bgColor rgb="FFE7E6E6"/>
      </patternFill>
    </fill>
    <fill>
      <patternFill patternType="solid">
        <fgColor rgb="FFFFFF93"/>
        <bgColor rgb="FFFCE4D6"/>
      </patternFill>
    </fill>
    <fill>
      <patternFill patternType="solid">
        <fgColor theme="6" tint="0.59999389629810485"/>
        <bgColor indexed="64"/>
      </patternFill>
    </fill>
    <fill>
      <patternFill patternType="solid">
        <fgColor theme="6" tint="0.59999389629810485"/>
        <bgColor rgb="FFD5E8D4"/>
      </patternFill>
    </fill>
    <fill>
      <patternFill patternType="solid">
        <fgColor theme="6" tint="0.59999389629810485"/>
        <bgColor rgb="FFE2EFDA"/>
      </patternFill>
    </fill>
    <fill>
      <patternFill patternType="solid">
        <fgColor theme="6" tint="0.59999389629810485"/>
        <bgColor rgb="FFC6E0B4"/>
      </patternFill>
    </fill>
    <fill>
      <patternFill patternType="solid">
        <fgColor rgb="FF92D050"/>
        <bgColor indexed="64"/>
      </patternFill>
    </fill>
    <fill>
      <patternFill patternType="solid">
        <fgColor rgb="FF92D050"/>
        <bgColor rgb="FFFFC000"/>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style="thin">
        <color indexed="64"/>
      </bottom>
      <diagonal/>
    </border>
  </borders>
  <cellStyleXfs count="3">
    <xf numFmtId="0" fontId="0" fillId="0" borderId="0"/>
    <xf numFmtId="0" fontId="5" fillId="0" borderId="0"/>
    <xf numFmtId="43" fontId="21" fillId="0" borderId="0" applyFont="0" applyFill="0" applyBorder="0" applyAlignment="0" applyProtection="0"/>
  </cellStyleXfs>
  <cellXfs count="128">
    <xf numFmtId="0" fontId="0" fillId="0" borderId="0" xfId="0"/>
    <xf numFmtId="0" fontId="1" fillId="2" borderId="1" xfId="0" applyFont="1" applyFill="1" applyBorder="1" applyAlignment="1">
      <alignment horizontal="center" vertical="center"/>
    </xf>
    <xf numFmtId="0" fontId="0" fillId="0" borderId="1" xfId="0" applyBorder="1"/>
    <xf numFmtId="2" fontId="0" fillId="4" borderId="1" xfId="0" applyNumberFormat="1" applyFill="1" applyBorder="1"/>
    <xf numFmtId="0" fontId="0" fillId="4" borderId="1" xfId="0" applyFill="1" applyBorder="1"/>
    <xf numFmtId="164" fontId="0" fillId="4" borderId="1" xfId="0" applyNumberFormat="1" applyFill="1" applyBorder="1"/>
    <xf numFmtId="0" fontId="2" fillId="0" borderId="0" xfId="0" applyFont="1"/>
    <xf numFmtId="0" fontId="0" fillId="4" borderId="0" xfId="0" applyFill="1"/>
    <xf numFmtId="9" fontId="0" fillId="4" borderId="0" xfId="0" applyNumberFormat="1" applyFill="1"/>
    <xf numFmtId="0" fontId="0" fillId="3" borderId="1" xfId="0" applyFill="1" applyBorder="1"/>
    <xf numFmtId="0" fontId="1" fillId="2" borderId="1" xfId="0" applyFont="1" applyFill="1" applyBorder="1"/>
    <xf numFmtId="164" fontId="0" fillId="3" borderId="1" xfId="0" applyNumberFormat="1" applyFill="1" applyBorder="1"/>
    <xf numFmtId="2" fontId="0" fillId="3" borderId="1" xfId="0" applyNumberFormat="1" applyFill="1" applyBorder="1"/>
    <xf numFmtId="0" fontId="3" fillId="0" borderId="0" xfId="0" applyFont="1"/>
    <xf numFmtId="0" fontId="5" fillId="0" borderId="0" xfId="1"/>
    <xf numFmtId="0" fontId="6"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2" fontId="0" fillId="0" borderId="0" xfId="0" applyNumberFormat="1"/>
    <xf numFmtId="165" fontId="0" fillId="0" borderId="0" xfId="0" applyNumberFormat="1"/>
    <xf numFmtId="0" fontId="7" fillId="0" borderId="0" xfId="0" applyFont="1" applyAlignment="1">
      <alignment horizontal="left"/>
    </xf>
    <xf numFmtId="0" fontId="8" fillId="0" borderId="0" xfId="0" applyFont="1"/>
    <xf numFmtId="0" fontId="13" fillId="0" borderId="0" xfId="0" applyFont="1"/>
    <xf numFmtId="0" fontId="14" fillId="5" borderId="0" xfId="0" applyFont="1" applyFill="1" applyAlignment="1">
      <alignment horizontal="center" vertical="center" wrapText="1"/>
    </xf>
    <xf numFmtId="0" fontId="9" fillId="0" borderId="0" xfId="0" applyFont="1"/>
    <xf numFmtId="0" fontId="11" fillId="0" borderId="0" xfId="0" applyFont="1"/>
    <xf numFmtId="0" fontId="15" fillId="7" borderId="0" xfId="0" applyFont="1" applyFill="1"/>
    <xf numFmtId="0" fontId="0" fillId="7" borderId="0" xfId="0" applyFill="1"/>
    <xf numFmtId="0" fontId="1" fillId="2" borderId="1" xfId="0" applyFont="1" applyFill="1" applyBorder="1" applyAlignment="1">
      <alignment horizontal="center" vertical="center" wrapText="1"/>
    </xf>
    <xf numFmtId="0" fontId="0" fillId="3" borderId="1" xfId="0" applyFill="1" applyBorder="1" applyAlignment="1">
      <alignment wrapText="1"/>
    </xf>
    <xf numFmtId="0" fontId="0" fillId="0" borderId="0" xfId="0" applyAlignment="1">
      <alignment wrapText="1"/>
    </xf>
    <xf numFmtId="0" fontId="1" fillId="5" borderId="1" xfId="0" applyFont="1" applyFill="1" applyBorder="1" applyAlignment="1">
      <alignment horizontal="center" vertical="center" wrapText="1"/>
    </xf>
    <xf numFmtId="0" fontId="0" fillId="8" borderId="0" xfId="0" applyFill="1"/>
    <xf numFmtId="0" fontId="0" fillId="9" borderId="0" xfId="0" applyFill="1"/>
    <xf numFmtId="164" fontId="0" fillId="11" borderId="1" xfId="0" applyNumberFormat="1" applyFill="1" applyBorder="1"/>
    <xf numFmtId="167" fontId="0" fillId="10" borderId="1" xfId="0" applyNumberFormat="1" applyFill="1" applyBorder="1"/>
    <xf numFmtId="167" fontId="0" fillId="0" borderId="1" xfId="0" applyNumberFormat="1" applyBorder="1"/>
    <xf numFmtId="0" fontId="2" fillId="0" borderId="1" xfId="0" applyFont="1" applyBorder="1"/>
    <xf numFmtId="9" fontId="2" fillId="0" borderId="1" xfId="0" applyNumberFormat="1" applyFont="1" applyBorder="1"/>
    <xf numFmtId="0" fontId="1" fillId="5" borderId="1" xfId="0" applyFont="1" applyFill="1" applyBorder="1"/>
    <xf numFmtId="3" fontId="0" fillId="0" borderId="1" xfId="0" applyNumberFormat="1" applyBorder="1"/>
    <xf numFmtId="2" fontId="0" fillId="0" borderId="1" xfId="0" applyNumberFormat="1" applyBorder="1"/>
    <xf numFmtId="0" fontId="0" fillId="0" borderId="1" xfId="0" applyBorder="1" applyAlignment="1">
      <alignment horizontal="center"/>
    </xf>
    <xf numFmtId="0" fontId="2" fillId="0" borderId="1" xfId="0" applyFont="1" applyBorder="1" applyAlignment="1">
      <alignment horizontal="center"/>
    </xf>
    <xf numFmtId="165" fontId="0" fillId="0" borderId="1" xfId="0" applyNumberFormat="1" applyBorder="1"/>
    <xf numFmtId="174" fontId="0" fillId="0" borderId="1" xfId="0" applyNumberFormat="1" applyBorder="1"/>
    <xf numFmtId="175" fontId="0" fillId="0" borderId="1" xfId="0" applyNumberFormat="1" applyBorder="1"/>
    <xf numFmtId="0" fontId="0" fillId="9" borderId="1" xfId="0" applyFill="1" applyBorder="1"/>
    <xf numFmtId="169" fontId="0" fillId="12" borderId="0" xfId="0" applyNumberFormat="1" applyFill="1"/>
    <xf numFmtId="166" fontId="0" fillId="12" borderId="0" xfId="0" applyNumberFormat="1" applyFill="1"/>
    <xf numFmtId="3" fontId="0" fillId="12" borderId="0" xfId="0" applyNumberFormat="1" applyFill="1"/>
    <xf numFmtId="167" fontId="0" fillId="12" borderId="0" xfId="0" applyNumberFormat="1" applyFill="1"/>
    <xf numFmtId="9" fontId="0" fillId="12" borderId="0" xfId="0" applyNumberFormat="1" applyFill="1"/>
    <xf numFmtId="167" fontId="0" fillId="12" borderId="1" xfId="0" applyNumberFormat="1" applyFill="1" applyBorder="1"/>
    <xf numFmtId="167" fontId="0" fillId="15" borderId="1" xfId="0" applyNumberFormat="1" applyFill="1" applyBorder="1"/>
    <xf numFmtId="170" fontId="0" fillId="0" borderId="0" xfId="0" applyNumberFormat="1"/>
    <xf numFmtId="0" fontId="1" fillId="5" borderId="0" xfId="0" applyFont="1" applyFill="1" applyAlignment="1">
      <alignment horizontal="center" vertical="center" wrapText="1"/>
    </xf>
    <xf numFmtId="1" fontId="0" fillId="16" borderId="0" xfId="0" applyNumberFormat="1" applyFill="1"/>
    <xf numFmtId="2" fontId="0" fillId="17" borderId="1" xfId="0" applyNumberFormat="1" applyFill="1" applyBorder="1"/>
    <xf numFmtId="2" fontId="0" fillId="14" borderId="0" xfId="0" applyNumberFormat="1" applyFill="1"/>
    <xf numFmtId="2" fontId="0" fillId="13" borderId="0" xfId="0" applyNumberFormat="1" applyFill="1"/>
    <xf numFmtId="0" fontId="2" fillId="6" borderId="0" xfId="0" applyFont="1" applyFill="1" applyAlignment="1">
      <alignment horizontal="left"/>
    </xf>
    <xf numFmtId="0" fontId="0" fillId="0" borderId="2" xfId="0" applyBorder="1"/>
    <xf numFmtId="3" fontId="12" fillId="0" borderId="4" xfId="0" applyNumberFormat="1" applyFont="1" applyBorder="1"/>
    <xf numFmtId="0" fontId="0" fillId="0" borderId="3" xfId="0" applyBorder="1"/>
    <xf numFmtId="167" fontId="15" fillId="0" borderId="1" xfId="0" applyNumberFormat="1" applyFont="1" applyBorder="1"/>
    <xf numFmtId="177" fontId="0" fillId="9" borderId="0" xfId="2" applyNumberFormat="1" applyFont="1" applyFill="1"/>
    <xf numFmtId="177" fontId="0" fillId="0" borderId="0" xfId="0" applyNumberFormat="1"/>
    <xf numFmtId="3" fontId="0" fillId="0" borderId="1" xfId="0" applyNumberFormat="1" applyBorder="1" applyAlignment="1">
      <alignment horizontal="left"/>
    </xf>
    <xf numFmtId="166" fontId="0" fillId="20" borderId="0" xfId="0" applyNumberFormat="1" applyFill="1"/>
    <xf numFmtId="170" fontId="0" fillId="20" borderId="0" xfId="0" applyNumberFormat="1" applyFill="1"/>
    <xf numFmtId="3" fontId="22" fillId="21" borderId="0" xfId="0" applyNumberFormat="1" applyFont="1" applyFill="1"/>
    <xf numFmtId="3" fontId="0" fillId="20" borderId="1" xfId="0" applyNumberFormat="1" applyFill="1" applyBorder="1"/>
    <xf numFmtId="3" fontId="12" fillId="21" borderId="1" xfId="0" applyNumberFormat="1" applyFont="1" applyFill="1" applyBorder="1"/>
    <xf numFmtId="2" fontId="0" fillId="21" borderId="1" xfId="0" applyNumberFormat="1" applyFill="1" applyBorder="1"/>
    <xf numFmtId="166" fontId="0" fillId="19" borderId="1" xfId="0" applyNumberFormat="1" applyFill="1" applyBorder="1"/>
    <xf numFmtId="166" fontId="2" fillId="19" borderId="1" xfId="0" applyNumberFormat="1" applyFont="1" applyFill="1" applyBorder="1"/>
    <xf numFmtId="176" fontId="2" fillId="21" borderId="1" xfId="0" applyNumberFormat="1" applyFont="1" applyFill="1" applyBorder="1"/>
    <xf numFmtId="166" fontId="23" fillId="19" borderId="1" xfId="0" applyNumberFormat="1" applyFont="1" applyFill="1" applyBorder="1"/>
    <xf numFmtId="174" fontId="15" fillId="0" borderId="1" xfId="0" applyNumberFormat="1" applyFont="1" applyBorder="1"/>
    <xf numFmtId="3" fontId="15" fillId="0" borderId="1" xfId="0" applyNumberFormat="1" applyFont="1" applyBorder="1"/>
    <xf numFmtId="166" fontId="15" fillId="19" borderId="1" xfId="0" applyNumberFormat="1" applyFont="1" applyFill="1" applyBorder="1"/>
    <xf numFmtId="175" fontId="15" fillId="0" borderId="1" xfId="0" applyNumberFormat="1" applyFont="1" applyBorder="1"/>
    <xf numFmtId="2" fontId="15" fillId="0" borderId="1" xfId="0" applyNumberFormat="1" applyFont="1" applyBorder="1"/>
    <xf numFmtId="176" fontId="23" fillId="18" borderId="1" xfId="0" applyNumberFormat="1" applyFont="1" applyFill="1" applyBorder="1"/>
    <xf numFmtId="167" fontId="0" fillId="22" borderId="0" xfId="0" applyNumberFormat="1" applyFill="1"/>
    <xf numFmtId="166" fontId="10" fillId="22" borderId="0" xfId="0" applyNumberFormat="1" applyFont="1" applyFill="1"/>
    <xf numFmtId="9" fontId="0" fillId="9" borderId="0" xfId="0" applyNumberFormat="1" applyFill="1"/>
    <xf numFmtId="165" fontId="0" fillId="9" borderId="0" xfId="0" applyNumberFormat="1" applyFill="1"/>
    <xf numFmtId="9" fontId="24" fillId="22" borderId="0" xfId="0" applyNumberFormat="1" applyFont="1" applyFill="1"/>
    <xf numFmtId="0" fontId="15" fillId="0" borderId="0" xfId="0" applyFont="1"/>
    <xf numFmtId="166" fontId="0" fillId="22" borderId="0" xfId="0" applyNumberFormat="1" applyFill="1"/>
    <xf numFmtId="3" fontId="0" fillId="22" borderId="0" xfId="0" applyNumberFormat="1" applyFill="1"/>
    <xf numFmtId="0" fontId="0" fillId="22" borderId="0" xfId="0" applyFill="1"/>
    <xf numFmtId="166" fontId="12" fillId="23" borderId="0" xfId="0" applyNumberFormat="1" applyFont="1" applyFill="1"/>
    <xf numFmtId="166" fontId="0" fillId="9" borderId="0" xfId="0" applyNumberFormat="1" applyFill="1"/>
    <xf numFmtId="168" fontId="0" fillId="22" borderId="0" xfId="0" applyNumberFormat="1" applyFill="1"/>
    <xf numFmtId="0" fontId="0" fillId="0" borderId="0" xfId="0"/>
    <xf numFmtId="0" fontId="2" fillId="0" borderId="0" xfId="0" applyFont="1"/>
    <xf numFmtId="0" fontId="20" fillId="0" borderId="0" xfId="0" applyFont="1"/>
    <xf numFmtId="0" fontId="19" fillId="0" borderId="0" xfId="0" applyFont="1"/>
    <xf numFmtId="0" fontId="2" fillId="6" borderId="0" xfId="0" applyFont="1" applyFill="1"/>
    <xf numFmtId="0" fontId="18" fillId="0" borderId="0" xfId="0" applyFont="1"/>
    <xf numFmtId="166" fontId="2" fillId="19" borderId="4" xfId="0" applyNumberFormat="1" applyFont="1" applyFill="1" applyBorder="1"/>
    <xf numFmtId="166" fontId="2" fillId="19" borderId="3" xfId="0" applyNumberFormat="1" applyFont="1" applyFill="1" applyBorder="1"/>
    <xf numFmtId="0" fontId="0" fillId="0" borderId="1" xfId="0" applyBorder="1"/>
    <xf numFmtId="172" fontId="2" fillId="18" borderId="4" xfId="0" applyNumberFormat="1" applyFont="1" applyFill="1" applyBorder="1"/>
    <xf numFmtId="172" fontId="2" fillId="18" borderId="3" xfId="0" applyNumberFormat="1" applyFont="1" applyFill="1" applyBorder="1"/>
    <xf numFmtId="173" fontId="2" fillId="18" borderId="4" xfId="0" applyNumberFormat="1" applyFont="1" applyFill="1" applyBorder="1"/>
    <xf numFmtId="173" fontId="2" fillId="18" borderId="3" xfId="0" applyNumberFormat="1" applyFont="1" applyFill="1" applyBorder="1"/>
    <xf numFmtId="166" fontId="15" fillId="18" borderId="4" xfId="0" applyNumberFormat="1" applyFont="1" applyFill="1" applyBorder="1"/>
    <xf numFmtId="166" fontId="15" fillId="18" borderId="3" xfId="0" applyNumberFormat="1" applyFont="1" applyFill="1" applyBorder="1"/>
    <xf numFmtId="0" fontId="2" fillId="0" borderId="1" xfId="0" applyFont="1" applyBorder="1"/>
    <xf numFmtId="0" fontId="1" fillId="5" borderId="1" xfId="0" applyFont="1" applyFill="1" applyBorder="1"/>
    <xf numFmtId="171" fontId="2" fillId="18" borderId="4" xfId="0" applyNumberFormat="1" applyFont="1" applyFill="1" applyBorder="1"/>
    <xf numFmtId="171" fontId="2" fillId="18" borderId="3" xfId="0" applyNumberFormat="1" applyFont="1" applyFill="1" applyBorder="1"/>
    <xf numFmtId="0" fontId="4" fillId="0" borderId="0" xfId="0" applyFont="1" applyAlignment="1">
      <alignment horizontal="center"/>
    </xf>
    <xf numFmtId="0" fontId="8" fillId="0" borderId="0" xfId="0" applyFont="1" applyAlignment="1">
      <alignment horizontal="center"/>
    </xf>
    <xf numFmtId="0" fontId="9" fillId="6" borderId="0" xfId="0" applyFont="1" applyFill="1"/>
    <xf numFmtId="0" fontId="12" fillId="23" borderId="0" xfId="0" applyFont="1" applyFill="1"/>
    <xf numFmtId="0" fontId="0" fillId="22" borderId="0" xfId="0" applyFill="1"/>
    <xf numFmtId="0" fontId="3" fillId="0" borderId="0" xfId="0" applyFont="1"/>
    <xf numFmtId="0" fontId="4" fillId="0" borderId="0" xfId="0" applyFont="1"/>
    <xf numFmtId="9" fontId="0" fillId="9" borderId="1" xfId="0" applyNumberFormat="1" applyFill="1" applyBorder="1"/>
    <xf numFmtId="9" fontId="0" fillId="22" borderId="1" xfId="0" applyNumberFormat="1" applyFill="1" applyBorder="1"/>
    <xf numFmtId="0" fontId="0" fillId="22" borderId="1" xfId="0" applyFill="1" applyBorder="1"/>
    <xf numFmtId="2" fontId="0" fillId="22" borderId="0" xfId="0" applyNumberFormat="1" applyFill="1"/>
    <xf numFmtId="165" fontId="0" fillId="22" borderId="0" xfId="0" applyNumberFormat="1" applyFill="1"/>
    <xf numFmtId="2" fontId="0" fillId="13" borderId="1" xfId="0" applyNumberFormat="1" applyFill="1" applyBorder="1"/>
  </cellXfs>
  <cellStyles count="3">
    <cellStyle name="Comma" xfId="2" builtinId="3"/>
    <cellStyle name="Hyperlink" xfId="1" builtinId="8"/>
    <cellStyle name="Normal" xfId="0" builtinId="0"/>
  </cellStyles>
  <dxfs count="8">
    <dxf>
      <font>
        <strike val="0"/>
        <color theme="1"/>
      </font>
      <fill>
        <patternFill>
          <bgColor theme="5" tint="0.39994506668294322"/>
        </patternFill>
      </fill>
    </dxf>
    <dxf>
      <font>
        <strike val="0"/>
        <color theme="1"/>
      </font>
      <fill>
        <patternFill>
          <bgColor rgb="FFFFFF93"/>
        </patternFill>
      </fill>
    </dxf>
    <dxf>
      <font>
        <strike val="0"/>
        <color theme="1"/>
      </font>
      <fill>
        <patternFill>
          <bgColor rgb="FF92D050"/>
        </patternFill>
      </fill>
    </dxf>
    <dxf>
      <font>
        <strike val="0"/>
        <color theme="1"/>
      </font>
      <fill>
        <patternFill>
          <bgColor theme="5" tint="0.39994506668294322"/>
        </patternFill>
      </fill>
    </dxf>
    <dxf>
      <font>
        <strike val="0"/>
        <color theme="1"/>
      </font>
      <fill>
        <patternFill>
          <bgColor rgb="FFFFFF93"/>
        </patternFill>
      </fill>
    </dxf>
    <dxf>
      <font>
        <strike val="0"/>
        <color theme="1"/>
      </font>
      <fill>
        <patternFill>
          <bgColor rgb="FF92D050"/>
        </patternFill>
      </fill>
    </dxf>
    <dxf>
      <fill>
        <patternFill>
          <bgColor theme="5" tint="0.59996337778862885"/>
        </patternFill>
      </fill>
    </dxf>
    <dxf>
      <fill>
        <patternFill>
          <bgColor rgb="FF92D050"/>
        </patternFill>
      </fill>
    </dxf>
  </dxfs>
  <tableStyles count="0" defaultTableStyle="TableStyleMedium9"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hyperlink" Target="https://dennisconsorte.com/bias-debt-framewor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B203-78B4-46FC-BFE0-A6E74441DFAA}">
  <dimension ref="A1:I61"/>
  <sheetViews>
    <sheetView tabSelected="1" zoomScale="120" zoomScaleNormal="120" workbookViewId="0">
      <selection activeCell="B5" sqref="B5"/>
    </sheetView>
  </sheetViews>
  <sheetFormatPr defaultRowHeight="14.5" x14ac:dyDescent="0.35"/>
  <cols>
    <col min="1" max="1" width="33.1796875" customWidth="1"/>
    <col min="2" max="2" width="21.54296875" bestFit="1" customWidth="1"/>
    <col min="3" max="3" width="13.08984375" customWidth="1"/>
    <col min="4" max="7" width="12" customWidth="1"/>
    <col min="8" max="8" width="15" customWidth="1"/>
    <col min="9" max="10" width="9.90625" bestFit="1" customWidth="1"/>
  </cols>
  <sheetData>
    <row r="1" spans="1:8" ht="18.5" x14ac:dyDescent="0.45">
      <c r="A1" s="115" t="s">
        <v>204</v>
      </c>
      <c r="B1" s="96"/>
      <c r="C1" s="96"/>
      <c r="D1" s="96"/>
      <c r="E1" s="96"/>
      <c r="F1" s="96"/>
      <c r="G1" s="96"/>
      <c r="H1" s="96"/>
    </row>
    <row r="2" spans="1:8" x14ac:dyDescent="0.35">
      <c r="A2" s="116" t="s">
        <v>205</v>
      </c>
      <c r="B2" s="96"/>
      <c r="C2" s="96"/>
      <c r="D2" s="96"/>
      <c r="E2" s="96"/>
      <c r="F2" s="96"/>
      <c r="G2" s="96"/>
      <c r="H2" s="96"/>
    </row>
    <row r="4" spans="1:8" x14ac:dyDescent="0.35">
      <c r="A4" s="100" t="s">
        <v>206</v>
      </c>
      <c r="B4" s="96"/>
      <c r="C4" s="96"/>
      <c r="D4" s="96"/>
      <c r="E4" s="96"/>
      <c r="F4" s="96"/>
      <c r="G4" s="96"/>
      <c r="H4" s="96"/>
    </row>
    <row r="5" spans="1:8" x14ac:dyDescent="0.35">
      <c r="A5" t="s">
        <v>282</v>
      </c>
      <c r="B5" s="47">
        <v>50</v>
      </c>
      <c r="C5" s="96" t="s">
        <v>207</v>
      </c>
      <c r="D5" s="96"/>
      <c r="E5" s="96"/>
      <c r="F5" s="96"/>
      <c r="G5" s="96"/>
      <c r="H5" s="96"/>
    </row>
    <row r="6" spans="1:8" x14ac:dyDescent="0.35">
      <c r="A6" t="s">
        <v>283</v>
      </c>
      <c r="B6" s="48">
        <v>1200</v>
      </c>
      <c r="C6" s="96" t="s">
        <v>284</v>
      </c>
      <c r="D6" s="96"/>
      <c r="E6" s="96"/>
      <c r="F6" s="96"/>
      <c r="G6" s="96"/>
      <c r="H6" s="96"/>
    </row>
    <row r="7" spans="1:8" x14ac:dyDescent="0.35">
      <c r="A7" t="s">
        <v>208</v>
      </c>
      <c r="B7" s="49">
        <v>500</v>
      </c>
      <c r="C7" s="96" t="s">
        <v>209</v>
      </c>
      <c r="D7" s="96"/>
      <c r="E7" s="96"/>
      <c r="F7" s="96"/>
      <c r="G7" s="96"/>
      <c r="H7" s="96"/>
    </row>
    <row r="8" spans="1:8" x14ac:dyDescent="0.35">
      <c r="A8" t="s">
        <v>210</v>
      </c>
      <c r="B8" s="68">
        <f>B5*B7</f>
        <v>25000</v>
      </c>
      <c r="C8" s="96" t="s">
        <v>211</v>
      </c>
      <c r="D8" s="96"/>
      <c r="E8" s="96"/>
      <c r="F8" s="96"/>
      <c r="G8" s="96"/>
      <c r="H8" s="96"/>
    </row>
    <row r="10" spans="1:8" x14ac:dyDescent="0.35">
      <c r="A10" s="100" t="s">
        <v>212</v>
      </c>
      <c r="B10" s="96"/>
      <c r="C10" s="96"/>
      <c r="D10" s="96"/>
      <c r="E10" s="96"/>
      <c r="F10" s="96"/>
      <c r="G10" s="96"/>
      <c r="H10" s="96"/>
    </row>
    <row r="11" spans="1:8" x14ac:dyDescent="0.35">
      <c r="A11" t="s">
        <v>213</v>
      </c>
      <c r="B11" s="50">
        <v>0.02</v>
      </c>
      <c r="C11" s="96" t="s">
        <v>214</v>
      </c>
      <c r="D11" s="96"/>
      <c r="E11" s="96"/>
      <c r="F11" s="96"/>
      <c r="G11" s="96"/>
      <c r="H11" s="96"/>
    </row>
    <row r="12" spans="1:8" x14ac:dyDescent="0.35">
      <c r="A12" t="s">
        <v>215</v>
      </c>
      <c r="B12" s="51">
        <v>0.95</v>
      </c>
      <c r="C12" s="96" t="s">
        <v>216</v>
      </c>
      <c r="D12" s="96"/>
      <c r="E12" s="96"/>
      <c r="F12" s="96"/>
      <c r="G12" s="96"/>
      <c r="H12" s="96"/>
    </row>
    <row r="13" spans="1:8" x14ac:dyDescent="0.35">
      <c r="A13" t="s">
        <v>217</v>
      </c>
      <c r="B13" s="69">
        <f>_xlfn.NORM.S.INV(1-(1-B12)/2)</f>
        <v>1.9599639845400536</v>
      </c>
      <c r="C13" s="96" t="s">
        <v>218</v>
      </c>
      <c r="D13" s="96"/>
      <c r="E13" s="96"/>
      <c r="F13" s="96"/>
      <c r="G13" s="96"/>
      <c r="H13" s="96"/>
    </row>
    <row r="14" spans="1:8" x14ac:dyDescent="0.35">
      <c r="B14" s="54"/>
    </row>
    <row r="15" spans="1:8" ht="15.5" x14ac:dyDescent="0.35">
      <c r="A15" t="s">
        <v>280</v>
      </c>
      <c r="B15" s="65">
        <v>1000</v>
      </c>
      <c r="C15" t="s">
        <v>285</v>
      </c>
      <c r="E15" s="70">
        <f>D25</f>
        <v>2401</v>
      </c>
      <c r="F15" t="s">
        <v>286</v>
      </c>
      <c r="G15" s="66">
        <f>E15-B15</f>
        <v>1401</v>
      </c>
    </row>
    <row r="16" spans="1:8" x14ac:dyDescent="0.35">
      <c r="B16" s="54"/>
    </row>
    <row r="18" spans="1:9" x14ac:dyDescent="0.35">
      <c r="A18" s="60" t="s">
        <v>219</v>
      </c>
      <c r="B18" s="60"/>
      <c r="C18" s="60"/>
      <c r="D18" s="60"/>
      <c r="E18" s="60"/>
      <c r="F18" s="60"/>
      <c r="G18" s="60"/>
      <c r="H18" s="60"/>
      <c r="I18" s="60"/>
    </row>
    <row r="19" spans="1:9" ht="29" x14ac:dyDescent="0.35">
      <c r="A19" s="30" t="s">
        <v>220</v>
      </c>
      <c r="B19" s="30" t="s">
        <v>166</v>
      </c>
      <c r="C19" s="30" t="s">
        <v>201</v>
      </c>
      <c r="D19" s="30" t="s">
        <v>221</v>
      </c>
      <c r="E19" s="30" t="s">
        <v>224</v>
      </c>
      <c r="F19" s="30" t="s">
        <v>222</v>
      </c>
      <c r="G19" s="30" t="s">
        <v>223</v>
      </c>
      <c r="H19" s="30" t="s">
        <v>225</v>
      </c>
      <c r="I19" s="30" t="s">
        <v>226</v>
      </c>
    </row>
    <row r="20" spans="1:9" x14ac:dyDescent="0.35">
      <c r="A20" s="46" t="s">
        <v>10</v>
      </c>
      <c r="B20" s="52">
        <v>0.05</v>
      </c>
      <c r="C20" s="34">
        <v>0.05</v>
      </c>
      <c r="D20" s="71">
        <f>IF(B20=0,"",CEILING($B$13^2 * B20 * (1-B20) / $B$11^2, 1))</f>
        <v>457</v>
      </c>
      <c r="E20" s="57">
        <f>IF(B20=0,"",MAX(0,B20-$B$11*2.576/$B$13)/B20)</f>
        <v>0.47427605398483647</v>
      </c>
      <c r="F20" s="73">
        <f>IF(B20=0,"",MAX(0,B20-$B$11)/B20)</f>
        <v>0.6</v>
      </c>
      <c r="G20" s="73">
        <f>IF(B20=0,"",(B20+$B$11)/B20)</f>
        <v>1.4000000000000001</v>
      </c>
      <c r="H20" s="57">
        <f>IF(B20=0,"",(B20+$B$11*2.576/$B$13)/B20)</f>
        <v>1.5257239460151635</v>
      </c>
      <c r="I20" s="74">
        <f>IF(B20=0,"",D20*B20*$B$6)</f>
        <v>27420</v>
      </c>
    </row>
    <row r="21" spans="1:9" x14ac:dyDescent="0.35">
      <c r="A21" s="46" t="s">
        <v>11</v>
      </c>
      <c r="B21" s="52">
        <v>0.2</v>
      </c>
      <c r="C21" s="34">
        <v>0.3</v>
      </c>
      <c r="D21" s="71">
        <f>IF(B21=0,"",CEILING($B$13^2 * B21 * (1-B21) / $B$11^2, 1))</f>
        <v>1537</v>
      </c>
      <c r="E21" s="57">
        <f>IF(B21=0,"",MAX(0,B21-$B$11*2.576/$B$13)/B21)</f>
        <v>0.86856901349620907</v>
      </c>
      <c r="F21" s="73">
        <f>IF(B21=0,"",MAX(0,B21-$B$11)/B21)</f>
        <v>0.9</v>
      </c>
      <c r="G21" s="73">
        <f>IF(B21=0,"",(B21+$B$11)/B21)</f>
        <v>1.0999999999999999</v>
      </c>
      <c r="H21" s="57">
        <f>IF(B21=0,"",(B21+$B$11*2.576/$B$13)/B21)</f>
        <v>1.1314309865037908</v>
      </c>
      <c r="I21" s="74">
        <f>IF(B21=0,"",D21*B21*$B$6)</f>
        <v>368880.00000000006</v>
      </c>
    </row>
    <row r="22" spans="1:9" x14ac:dyDescent="0.35">
      <c r="A22" s="46" t="s">
        <v>12</v>
      </c>
      <c r="B22" s="52">
        <v>0.5</v>
      </c>
      <c r="C22" s="34">
        <v>0.34</v>
      </c>
      <c r="D22" s="71">
        <f>IF(B22=0,"",CEILING($B$13^2 * B22 * (1-B22) / $B$11^2, 1))</f>
        <v>2401</v>
      </c>
      <c r="E22" s="57">
        <f>IF(B22=0,"",MAX(0,B22-$B$11*2.576/$B$13)/B22)</f>
        <v>0.94742760539848359</v>
      </c>
      <c r="F22" s="73">
        <f>IF(B22=0,"",MAX(0,B22-$B$11)/B22)</f>
        <v>0.96</v>
      </c>
      <c r="G22" s="73">
        <f>IF(B22=0,"",(B22+$B$11)/B22)</f>
        <v>1.04</v>
      </c>
      <c r="H22" s="57">
        <f>IF(B22=0,"",(B22+$B$11*2.576/$B$13)/B22)</f>
        <v>1.0525723946015164</v>
      </c>
      <c r="I22" s="74">
        <f>IF(B22=0,"",D22*B22*$B$6)</f>
        <v>1440600</v>
      </c>
    </row>
    <row r="23" spans="1:9" x14ac:dyDescent="0.35">
      <c r="A23" s="46" t="s">
        <v>13</v>
      </c>
      <c r="B23" s="52">
        <v>0.2</v>
      </c>
      <c r="C23" s="34">
        <v>0.25</v>
      </c>
      <c r="D23" s="71">
        <f>IF(B23=0,"",CEILING($B$13^2 * B23 * (1-B23) / $B$11^2, 1))</f>
        <v>1537</v>
      </c>
      <c r="E23" s="57">
        <f>IF(B23=0,"",MAX(0,B23-$B$11*2.576/$B$13)/B23)</f>
        <v>0.86856901349620907</v>
      </c>
      <c r="F23" s="73">
        <f>IF(B23=0,"",MAX(0,B23-$B$11)/B23)</f>
        <v>0.9</v>
      </c>
      <c r="G23" s="73">
        <f>IF(B23=0,"",(B23+$B$11)/B23)</f>
        <v>1.0999999999999999</v>
      </c>
      <c r="H23" s="57">
        <f>IF(B23=0,"",(B23+$B$11*2.576/$B$13)/B23)</f>
        <v>1.1314309865037908</v>
      </c>
      <c r="I23" s="74">
        <f>IF(B23=0,"",D23*B23*$B$6)</f>
        <v>368880.00000000006</v>
      </c>
    </row>
    <row r="24" spans="1:9" x14ac:dyDescent="0.35">
      <c r="A24" s="46" t="s">
        <v>14</v>
      </c>
      <c r="B24" s="52">
        <v>0.05</v>
      </c>
      <c r="C24" s="34">
        <v>0.06</v>
      </c>
      <c r="D24" s="71">
        <f>IF(B24=0,"",CEILING($B$13^2 * B24 * (1-B24) / $B$11^2, 1))</f>
        <v>457</v>
      </c>
      <c r="E24" s="57">
        <f>IF(B24=0,"",MAX(0,B24-$B$11*2.576/$B$13)/B24)</f>
        <v>0.47427605398483647</v>
      </c>
      <c r="F24" s="73">
        <f>IF(B24=0,"",MAX(0,B24-$B$11)/B24)</f>
        <v>0.6</v>
      </c>
      <c r="G24" s="73">
        <f>IF(B24=0,"",(B24+$B$11)/B24)</f>
        <v>1.4000000000000001</v>
      </c>
      <c r="H24" s="57">
        <f>IF(B24=0,"",(B24+$B$11*2.576/$B$13)/B24)</f>
        <v>1.5257239460151635</v>
      </c>
      <c r="I24" s="74">
        <f>IF(B24=0,"",D24*B24*$B$6)</f>
        <v>27420</v>
      </c>
    </row>
    <row r="25" spans="1:9" ht="15.5" x14ac:dyDescent="0.35">
      <c r="A25" s="36" t="s">
        <v>227</v>
      </c>
      <c r="B25" s="37">
        <f>SUM(B20:B24)</f>
        <v>1</v>
      </c>
      <c r="C25" s="64">
        <f>SUM(C20:C24)</f>
        <v>1</v>
      </c>
      <c r="D25" s="72">
        <f>MAX(D20:D24)</f>
        <v>2401</v>
      </c>
      <c r="E25" s="62"/>
      <c r="F25" s="61"/>
      <c r="G25" s="61"/>
      <c r="H25" s="63" t="s">
        <v>228</v>
      </c>
      <c r="I25" s="75">
        <f>SUM(I20:I24)</f>
        <v>2233200</v>
      </c>
    </row>
    <row r="27" spans="1:9" x14ac:dyDescent="0.35">
      <c r="A27" s="100" t="s">
        <v>229</v>
      </c>
      <c r="B27" s="96"/>
      <c r="C27" s="96"/>
      <c r="D27" s="96"/>
      <c r="E27" s="96"/>
      <c r="F27" s="96"/>
      <c r="G27" s="96"/>
      <c r="H27" s="96"/>
    </row>
    <row r="28" spans="1:9" x14ac:dyDescent="0.35">
      <c r="A28" s="38" t="s">
        <v>230</v>
      </c>
      <c r="B28" s="38" t="s">
        <v>231</v>
      </c>
      <c r="C28" s="112" t="s">
        <v>232</v>
      </c>
      <c r="D28" s="104"/>
      <c r="E28" s="112" t="s">
        <v>233</v>
      </c>
      <c r="F28" s="104"/>
      <c r="G28" s="104"/>
      <c r="H28" s="104"/>
    </row>
    <row r="29" spans="1:9" x14ac:dyDescent="0.35">
      <c r="A29" s="2" t="s">
        <v>234</v>
      </c>
      <c r="B29" s="67">
        <f>D25</f>
        <v>2401</v>
      </c>
      <c r="C29" s="113">
        <f>B29</f>
        <v>2401</v>
      </c>
      <c r="D29" s="114"/>
      <c r="E29" s="104" t="s">
        <v>235</v>
      </c>
      <c r="F29" s="104"/>
      <c r="G29" s="104"/>
      <c r="H29" s="104"/>
    </row>
    <row r="30" spans="1:9" x14ac:dyDescent="0.35">
      <c r="A30" s="2" t="s">
        <v>236</v>
      </c>
      <c r="B30" s="2" t="s">
        <v>237</v>
      </c>
      <c r="C30" s="102">
        <f>B29*$B$5</f>
        <v>120050</v>
      </c>
      <c r="D30" s="103"/>
      <c r="E30" s="104" t="s">
        <v>238</v>
      </c>
      <c r="F30" s="104"/>
      <c r="G30" s="104"/>
      <c r="H30" s="104"/>
    </row>
    <row r="31" spans="1:9" x14ac:dyDescent="0.35">
      <c r="A31" s="2" t="s">
        <v>239</v>
      </c>
      <c r="B31" s="2" t="s">
        <v>240</v>
      </c>
      <c r="C31" s="105">
        <f>B29/$B$7</f>
        <v>4.8019999999999996</v>
      </c>
      <c r="D31" s="106"/>
      <c r="E31" s="104" t="s">
        <v>241</v>
      </c>
      <c r="F31" s="104"/>
      <c r="G31" s="104"/>
      <c r="H31" s="104"/>
    </row>
    <row r="32" spans="1:9" x14ac:dyDescent="0.35">
      <c r="A32" s="2" t="s">
        <v>242</v>
      </c>
      <c r="B32" s="2" t="s">
        <v>243</v>
      </c>
      <c r="C32" s="107">
        <f>C30/C31</f>
        <v>25000.000000000004</v>
      </c>
      <c r="D32" s="108"/>
      <c r="E32" s="104" t="s">
        <v>244</v>
      </c>
      <c r="F32" s="104"/>
      <c r="G32" s="104"/>
      <c r="H32" s="104"/>
    </row>
    <row r="33" spans="1:8" x14ac:dyDescent="0.35">
      <c r="A33" s="2" t="s">
        <v>245</v>
      </c>
      <c r="B33" s="2" t="s">
        <v>246</v>
      </c>
      <c r="C33" s="109">
        <f>$B$8</f>
        <v>25000</v>
      </c>
      <c r="D33" s="110"/>
      <c r="E33" s="111" t="str">
        <f>IF(C32&gt;C33,"⚠️ Need to increase spend by "&amp;TEXT(C32-C33,"$#,##0"),"✅ Current spend is adequate")</f>
        <v>✅ Current spend is adequate</v>
      </c>
      <c r="F33" s="104"/>
      <c r="G33" s="104"/>
      <c r="H33" s="104"/>
    </row>
    <row r="35" spans="1:8" x14ac:dyDescent="0.35">
      <c r="A35" s="100" t="s">
        <v>247</v>
      </c>
      <c r="B35" s="96"/>
      <c r="C35" s="96"/>
      <c r="D35" s="96"/>
      <c r="E35" s="96"/>
      <c r="F35" s="96"/>
      <c r="G35" s="96"/>
      <c r="H35" s="96"/>
    </row>
    <row r="36" spans="1:8" x14ac:dyDescent="0.35">
      <c r="A36" s="101" t="s">
        <v>248</v>
      </c>
      <c r="B36" s="96"/>
      <c r="C36" s="96"/>
      <c r="D36" s="96"/>
      <c r="E36" s="96"/>
      <c r="F36" s="96"/>
      <c r="G36" s="96"/>
      <c r="H36" s="96"/>
    </row>
    <row r="37" spans="1:8" ht="58" x14ac:dyDescent="0.35">
      <c r="A37" s="30" t="s">
        <v>116</v>
      </c>
      <c r="B37" s="30" t="s">
        <v>249</v>
      </c>
      <c r="C37" s="30" t="s">
        <v>250</v>
      </c>
      <c r="D37" s="30" t="s">
        <v>251</v>
      </c>
      <c r="E37" s="30" t="s">
        <v>252</v>
      </c>
      <c r="F37" s="30" t="s">
        <v>253</v>
      </c>
      <c r="G37" s="30" t="s">
        <v>5</v>
      </c>
      <c r="H37" s="30" t="s">
        <v>7</v>
      </c>
    </row>
    <row r="38" spans="1:8" x14ac:dyDescent="0.35">
      <c r="A38" s="2" t="s">
        <v>254</v>
      </c>
      <c r="B38" s="40">
        <v>0.5</v>
      </c>
      <c r="C38" s="41" t="s">
        <v>255</v>
      </c>
      <c r="D38" s="39">
        <f>($B$7*12*0.2)-($B$7*12*VALUE(C38))</f>
        <v>600</v>
      </c>
      <c r="E38" s="75">
        <f>D38*$B$6</f>
        <v>720000</v>
      </c>
      <c r="F38" s="42" t="str">
        <f>IF(B38=1,"N/A",IF(OR(B38&lt;F21,B38&gt;G21),"✅ YES","❌ NO"))</f>
        <v>✅ YES</v>
      </c>
      <c r="G38" s="43"/>
      <c r="H38" s="41" t="str">
        <f>IF(B38=1,"Baseline",IF(G38="N/A","N/A",IF(G38&lt;0.003,"🚨 Critical",IF(G38&lt;0.05,"⚠️ Warning","✅ Healthy"))))</f>
        <v>🚨 Critical</v>
      </c>
    </row>
    <row r="39" spans="1:8" x14ac:dyDescent="0.35">
      <c r="A39" s="2" t="s">
        <v>256</v>
      </c>
      <c r="B39" s="40">
        <v>0.7</v>
      </c>
      <c r="C39" s="41" t="s">
        <v>257</v>
      </c>
      <c r="D39" s="39">
        <f>($B$7*12*0.2)-($B$7*12*VALUE(C39))</f>
        <v>359.99999999999989</v>
      </c>
      <c r="E39" s="75">
        <f>D39*$B$6</f>
        <v>431999.99999999988</v>
      </c>
      <c r="F39" s="42" t="str">
        <f>IF(B39=1,"N/A",IF(OR(B39&lt;F21,B39&gt;G21),"✅ YES","❌ NO"))</f>
        <v>✅ YES</v>
      </c>
      <c r="G39" s="43"/>
      <c r="H39" s="41" t="str">
        <f>IF(B39=1,"Baseline",IF(G39="N/A","N/A",IF(G39&lt;0.003,"🚨 Critical",IF(G39&lt;0.05,"⚠️ Warning","✅ Healthy"))))</f>
        <v>🚨 Critical</v>
      </c>
    </row>
    <row r="40" spans="1:8" x14ac:dyDescent="0.35">
      <c r="A40" s="2" t="s">
        <v>258</v>
      </c>
      <c r="B40" s="40">
        <v>0.85</v>
      </c>
      <c r="C40" s="41" t="s">
        <v>259</v>
      </c>
      <c r="D40" s="39">
        <f>($B$7*12*0.2)-($B$7*12*VALUE(C40))</f>
        <v>179.99999999999989</v>
      </c>
      <c r="E40" s="75">
        <f>D40*$B$6</f>
        <v>215999.99999999985</v>
      </c>
      <c r="F40" s="42" t="str">
        <f>IF(B40=1,"N/A",IF(OR(B40&lt;F21,B40&gt;G21),"✅ YES","❌ NO"))</f>
        <v>✅ YES</v>
      </c>
      <c r="G40" s="43"/>
      <c r="H40" s="41" t="str">
        <f>IF(B40=1,"Baseline",IF(G40="N/A","N/A",IF(G40&lt;0.003,"🚨 Critical",IF(G40&lt;0.05,"⚠️ Warning","✅ Healthy"))))</f>
        <v>🚨 Critical</v>
      </c>
    </row>
    <row r="41" spans="1:8" x14ac:dyDescent="0.35">
      <c r="A41" s="2" t="s">
        <v>260</v>
      </c>
      <c r="B41" s="40">
        <v>0.95</v>
      </c>
      <c r="C41" s="41" t="s">
        <v>261</v>
      </c>
      <c r="D41" s="39">
        <f>($B$7*12*0.2)-($B$7*12*VALUE(C41))</f>
        <v>60</v>
      </c>
      <c r="E41" s="75">
        <f>D41*$B$6</f>
        <v>72000</v>
      </c>
      <c r="F41" s="42" t="str">
        <f>IF(B41=1,"N/A",IF(OR(B41&lt;F21,B41&gt;G21),"✅ YES","❌ NO"))</f>
        <v>❌ NO</v>
      </c>
      <c r="G41" s="43"/>
      <c r="H41" s="41" t="str">
        <f>IF(B41=1,"Baseline",IF(G41="N/A","N/A",IF(G41&lt;0.003,"🚨 Critical",IF(G41&lt;0.05,"⚠️ Warning","✅ Healthy"))))</f>
        <v>🚨 Critical</v>
      </c>
    </row>
    <row r="42" spans="1:8" x14ac:dyDescent="0.35">
      <c r="A42" s="2" t="s">
        <v>262</v>
      </c>
      <c r="B42" s="40">
        <v>1</v>
      </c>
      <c r="C42" s="41" t="s">
        <v>263</v>
      </c>
      <c r="D42" s="39">
        <f>($B$7*12*0.2)-($B$7*12*VALUE(C42))</f>
        <v>0</v>
      </c>
      <c r="E42" s="75">
        <f>D42*$B$6</f>
        <v>0</v>
      </c>
      <c r="F42" s="42" t="str">
        <f>IF(B42=1,"N/A",IF(OR(B42&lt;F21,B42&gt;G21),"✅ YES","❌ NO"))</f>
        <v>N/A</v>
      </c>
      <c r="G42" s="43"/>
      <c r="H42" s="41" t="str">
        <f>IF(B42=1,"Baseline",IF(G42="N/A","N/A",IF(G42&lt;0.003,"🚨 Critical",IF(G42&lt;0.05,"⚠️ Warning","✅ Healthy"))))</f>
        <v>Baseline</v>
      </c>
    </row>
    <row r="44" spans="1:8" x14ac:dyDescent="0.35">
      <c r="A44" s="100" t="s">
        <v>264</v>
      </c>
      <c r="B44" s="96"/>
      <c r="C44" s="96"/>
      <c r="D44" s="96"/>
      <c r="E44" s="96"/>
      <c r="F44" s="96"/>
      <c r="G44" s="96"/>
      <c r="H44" s="96"/>
    </row>
    <row r="45" spans="1:8" x14ac:dyDescent="0.35">
      <c r="A45" s="101" t="s">
        <v>265</v>
      </c>
      <c r="B45" s="96"/>
      <c r="C45" s="96"/>
      <c r="D45" s="96"/>
      <c r="E45" s="96"/>
      <c r="F45" s="96"/>
      <c r="G45" s="96"/>
      <c r="H45" s="96"/>
    </row>
    <row r="46" spans="1:8" ht="29" x14ac:dyDescent="0.35">
      <c r="A46" s="30" t="s">
        <v>266</v>
      </c>
      <c r="B46" s="30" t="s">
        <v>267</v>
      </c>
      <c r="C46" s="30" t="s">
        <v>221</v>
      </c>
      <c r="D46" s="30" t="s">
        <v>268</v>
      </c>
      <c r="E46" s="30" t="s">
        <v>269</v>
      </c>
      <c r="F46" s="30" t="s">
        <v>270</v>
      </c>
      <c r="G46" s="30" t="s">
        <v>271</v>
      </c>
      <c r="H46" s="30" t="s">
        <v>272</v>
      </c>
    </row>
    <row r="47" spans="1:8" x14ac:dyDescent="0.35">
      <c r="A47" s="2" t="s">
        <v>273</v>
      </c>
      <c r="B47" s="44">
        <v>0.01</v>
      </c>
      <c r="C47" s="39">
        <f>CEILING(1.96^2 * 0.5 * 0.5 / B47^2, 1)</f>
        <v>9604</v>
      </c>
      <c r="D47" s="74">
        <f>C47*$B$5</f>
        <v>480200</v>
      </c>
      <c r="E47" s="45">
        <f>C47/$B$7</f>
        <v>19.207999999999998</v>
      </c>
      <c r="F47" s="40">
        <f>(0.2-B47)/0.2</f>
        <v>0.95</v>
      </c>
      <c r="G47" s="77">
        <f>(0.2-0.17)*($B$7*12)*$B$6</f>
        <v>216000</v>
      </c>
      <c r="H47" s="83">
        <f>G47/D47</f>
        <v>0.4498125780924615</v>
      </c>
    </row>
    <row r="48" spans="1:8" x14ac:dyDescent="0.35">
      <c r="A48" s="36" t="s">
        <v>274</v>
      </c>
      <c r="B48" s="78">
        <v>0.02</v>
      </c>
      <c r="C48" s="79">
        <f>CEILING(1.96^2 * 0.5 * 0.5 / B48^2, 1)</f>
        <v>2401</v>
      </c>
      <c r="D48" s="80">
        <f>C48*$B$5</f>
        <v>120050</v>
      </c>
      <c r="E48" s="81">
        <f>C48/$B$7</f>
        <v>4.8019999999999996</v>
      </c>
      <c r="F48" s="82">
        <f>(0.2-B48)/0.2</f>
        <v>0.9</v>
      </c>
      <c r="G48" s="75">
        <f>(0.2-0.17)*($B$7*12)*$B$6</f>
        <v>216000</v>
      </c>
      <c r="H48" s="76">
        <f>G48/D48</f>
        <v>1.799250312369846</v>
      </c>
    </row>
    <row r="49" spans="1:8" x14ac:dyDescent="0.35">
      <c r="A49" s="2" t="s">
        <v>125</v>
      </c>
      <c r="B49" s="44">
        <v>0.03</v>
      </c>
      <c r="C49" s="39">
        <f>CEILING(1.96^2 * 0.5 * 0.5 / B49^2, 1)</f>
        <v>1068</v>
      </c>
      <c r="D49" s="74">
        <f>C49*$B$5</f>
        <v>53400</v>
      </c>
      <c r="E49" s="45">
        <f>C49/$B$7</f>
        <v>2.1360000000000001</v>
      </c>
      <c r="F49" s="40">
        <f>(0.2-B49)/0.2</f>
        <v>0.85</v>
      </c>
      <c r="G49" s="77">
        <f>(0.2-0.17)*($B$7*12)*$B$6</f>
        <v>216000</v>
      </c>
      <c r="H49" s="83">
        <f>G49/D49</f>
        <v>4.0449438202247192</v>
      </c>
    </row>
    <row r="50" spans="1:8" x14ac:dyDescent="0.35">
      <c r="A50" s="2" t="s">
        <v>275</v>
      </c>
      <c r="B50" s="44">
        <v>0.05</v>
      </c>
      <c r="C50" s="39">
        <f>CEILING(1.96^2 * 0.5 * 0.5 / B50^2, 1)</f>
        <v>385</v>
      </c>
      <c r="D50" s="74">
        <f>C50*$B$5</f>
        <v>19250</v>
      </c>
      <c r="E50" s="45">
        <f>C50/$B$7</f>
        <v>0.77</v>
      </c>
      <c r="F50" s="40">
        <f>(0.2-B50)/0.2</f>
        <v>0.75000000000000011</v>
      </c>
      <c r="G50" s="77">
        <f>(0.2-0.17)*($B$7*12)*$B$6</f>
        <v>216000</v>
      </c>
      <c r="H50" s="83">
        <f>G50/D50</f>
        <v>11.220779220779221</v>
      </c>
    </row>
    <row r="51" spans="1:8" x14ac:dyDescent="0.35">
      <c r="A51" s="99" t="s">
        <v>276</v>
      </c>
      <c r="B51" s="96"/>
      <c r="C51" s="96"/>
      <c r="D51" s="96"/>
      <c r="E51" s="96"/>
      <c r="F51" s="96"/>
      <c r="G51" s="96"/>
      <c r="H51" s="96"/>
    </row>
    <row r="53" spans="1:8" x14ac:dyDescent="0.35">
      <c r="A53" s="100" t="s">
        <v>277</v>
      </c>
      <c r="B53" s="96"/>
      <c r="C53" s="96"/>
      <c r="D53" s="96"/>
      <c r="E53" s="96"/>
      <c r="F53" s="96"/>
      <c r="G53" s="96"/>
      <c r="H53" s="96"/>
    </row>
    <row r="54" spans="1:8" x14ac:dyDescent="0.35">
      <c r="A54" s="97" t="s">
        <v>278</v>
      </c>
      <c r="B54" s="96"/>
      <c r="C54" s="96"/>
      <c r="D54" s="96"/>
      <c r="E54" s="96"/>
      <c r="F54" s="96"/>
      <c r="G54" s="96"/>
      <c r="H54" s="96"/>
    </row>
    <row r="55" spans="1:8" x14ac:dyDescent="0.35">
      <c r="A55" s="96" t="str">
        <f>"• Target sample size: "&amp;TEXT($D$25,"#,##0")&amp;" conversions"</f>
        <v>• Target sample size: 2,401 conversions</v>
      </c>
      <c r="B55" s="96"/>
      <c r="C55" s="96"/>
      <c r="D55" s="96"/>
      <c r="E55" s="96"/>
      <c r="F55" s="96"/>
      <c r="G55" s="96"/>
      <c r="H55" s="96"/>
    </row>
    <row r="56" spans="1:8" x14ac:dyDescent="0.35">
      <c r="A56" s="96" t="str">
        <f>"• Total cost to acquire: "&amp;TEXT($C$30,"$#,##0")&amp;" in ad spend"</f>
        <v>• Total cost to acquire: $120,050 in ad spend</v>
      </c>
      <c r="B56" s="96"/>
      <c r="C56" s="96"/>
      <c r="D56" s="96"/>
      <c r="E56" s="96"/>
      <c r="F56" s="96"/>
      <c r="G56" s="96"/>
      <c r="H56" s="96"/>
    </row>
    <row r="57" spans="1:8" x14ac:dyDescent="0.35">
      <c r="A57" s="96" t="str">
        <f>"• Time to collect: "&amp;TEXT($C$31,"0.0")&amp;" months at current pace"</f>
        <v>• Time to collect: 4.8 months at current pace</v>
      </c>
      <c r="B57" s="96"/>
      <c r="C57" s="96"/>
      <c r="D57" s="96"/>
      <c r="E57" s="96"/>
      <c r="F57" s="96"/>
      <c r="G57" s="96"/>
      <c r="H57" s="96"/>
    </row>
    <row r="58" spans="1:8" x14ac:dyDescent="0.35">
      <c r="A58" s="96" t="str">
        <f>"• ROI of detecting bias: "&amp;TEXT(H48,"0.0")&amp;"x (revenue saved vs audit cost)"</f>
        <v>• ROI of detecting bias: 1.8x (revenue saved vs audit cost)</v>
      </c>
      <c r="B58" s="96"/>
      <c r="C58" s="96"/>
      <c r="D58" s="96"/>
      <c r="E58" s="96"/>
      <c r="F58" s="96"/>
      <c r="G58" s="96"/>
      <c r="H58" s="96"/>
    </row>
    <row r="60" spans="1:8" x14ac:dyDescent="0.35">
      <c r="A60" s="97" t="s">
        <v>279</v>
      </c>
      <c r="B60" s="96"/>
      <c r="C60" s="96"/>
      <c r="D60" s="96"/>
      <c r="E60" s="96"/>
      <c r="F60" s="96"/>
      <c r="G60" s="96"/>
      <c r="H60" s="96"/>
    </row>
    <row r="61" spans="1:8" x14ac:dyDescent="0.35">
      <c r="A61" s="98" t="str">
        <f>IF(C31&lt;=3,"✅ You can complete an audit quarterly (ideal frequency)","⚠️ Consider: "&amp;IF(C32/$B$8&gt;1.5,"Increasing ad spend to "&amp;TEXT(C32,"$#,##0")&amp;"/mo","Accepting longer audit cycles or lower precision"))</f>
        <v>⚠️ Consider: Accepting longer audit cycles or lower precision</v>
      </c>
      <c r="B61" s="96"/>
      <c r="C61" s="96"/>
      <c r="D61" s="96"/>
      <c r="E61" s="96"/>
      <c r="F61" s="96"/>
      <c r="G61" s="96"/>
      <c r="H61" s="96"/>
    </row>
  </sheetData>
  <mergeCells count="37">
    <mergeCell ref="A1:H1"/>
    <mergeCell ref="A2:H2"/>
    <mergeCell ref="A4:H4"/>
    <mergeCell ref="C5:H5"/>
    <mergeCell ref="C6:H6"/>
    <mergeCell ref="C7:H7"/>
    <mergeCell ref="C8:H8"/>
    <mergeCell ref="A10:H10"/>
    <mergeCell ref="C11:H11"/>
    <mergeCell ref="C12:H12"/>
    <mergeCell ref="C13:H13"/>
    <mergeCell ref="A27:H27"/>
    <mergeCell ref="C28:D28"/>
    <mergeCell ref="E28:H28"/>
    <mergeCell ref="C29:D29"/>
    <mergeCell ref="E29:H29"/>
    <mergeCell ref="A45:H45"/>
    <mergeCell ref="C30:D30"/>
    <mergeCell ref="E30:H30"/>
    <mergeCell ref="C31:D31"/>
    <mergeCell ref="E31:H31"/>
    <mergeCell ref="C32:D32"/>
    <mergeCell ref="E32:H32"/>
    <mergeCell ref="C33:D33"/>
    <mergeCell ref="E33:H33"/>
    <mergeCell ref="A35:H35"/>
    <mergeCell ref="A36:H36"/>
    <mergeCell ref="A44:H44"/>
    <mergeCell ref="A58:H58"/>
    <mergeCell ref="A60:H60"/>
    <mergeCell ref="A61:H61"/>
    <mergeCell ref="A51:H51"/>
    <mergeCell ref="A53:H53"/>
    <mergeCell ref="A54:H54"/>
    <mergeCell ref="A55:H55"/>
    <mergeCell ref="A56:H56"/>
    <mergeCell ref="A57:H57"/>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workbookViewId="0">
      <selection activeCell="C2" sqref="C2"/>
    </sheetView>
  </sheetViews>
  <sheetFormatPr defaultRowHeight="14.5" x14ac:dyDescent="0.35"/>
  <cols>
    <col min="1" max="1" width="25" customWidth="1"/>
    <col min="2" max="2" width="12" customWidth="1"/>
    <col min="3" max="3" width="14.1796875" customWidth="1"/>
    <col min="4" max="4" width="12" customWidth="1"/>
    <col min="5" max="6" width="15" customWidth="1"/>
    <col min="7" max="7" width="30" customWidth="1"/>
    <col min="8" max="8" width="15" customWidth="1"/>
    <col min="9" max="9" width="11.08984375" bestFit="1" customWidth="1"/>
    <col min="12" max="12" width="10.453125" bestFit="1" customWidth="1"/>
    <col min="15" max="15" width="10.453125" bestFit="1" customWidth="1"/>
    <col min="16" max="16" width="11.08984375" bestFit="1" customWidth="1"/>
    <col min="18" max="18" width="10.453125" bestFit="1" customWidth="1"/>
  </cols>
  <sheetData>
    <row r="1" spans="1:16" ht="29" x14ac:dyDescent="0.35">
      <c r="A1" s="15" t="s">
        <v>0</v>
      </c>
      <c r="B1" s="15" t="s">
        <v>1</v>
      </c>
      <c r="C1" s="30" t="s">
        <v>201</v>
      </c>
      <c r="D1" s="55" t="s">
        <v>281</v>
      </c>
      <c r="E1" s="55" t="s">
        <v>280</v>
      </c>
      <c r="F1" s="15" t="s">
        <v>2</v>
      </c>
      <c r="G1" s="30" t="s">
        <v>224</v>
      </c>
      <c r="H1" s="30" t="s">
        <v>222</v>
      </c>
      <c r="I1" s="30" t="s">
        <v>223</v>
      </c>
      <c r="J1" s="30" t="s">
        <v>225</v>
      </c>
      <c r="K1" s="16" t="s">
        <v>4</v>
      </c>
      <c r="L1" s="16" t="s">
        <v>5</v>
      </c>
      <c r="M1" s="16" t="s">
        <v>6</v>
      </c>
      <c r="N1" s="15" t="s">
        <v>7</v>
      </c>
      <c r="O1" s="15" t="s">
        <v>8</v>
      </c>
      <c r="P1" s="15" t="s">
        <v>9</v>
      </c>
    </row>
    <row r="2" spans="1:16" x14ac:dyDescent="0.35">
      <c r="A2" s="2" t="str">
        <f>'Calculator with ROI'!A20</f>
        <v>Ages 18-24</v>
      </c>
      <c r="B2" s="53">
        <f>'Calculator with ROI'!B20</f>
        <v>0.05</v>
      </c>
      <c r="C2" s="34">
        <f>'Calculator with ROI'!C20</f>
        <v>0.05</v>
      </c>
      <c r="D2" s="56">
        <f>'Calculator with ROI'!D20</f>
        <v>457</v>
      </c>
      <c r="E2" s="31">
        <f>'Calculator with ROI'!B15</f>
        <v>1000</v>
      </c>
      <c r="F2" s="3">
        <f>IF(B2&gt;0,IF(OR(B2="",C2=""),"",C2/B2),"N/A")</f>
        <v>1</v>
      </c>
      <c r="G2" s="58">
        <f>'Calculator with ROI'!E20</f>
        <v>0.47427605398483647</v>
      </c>
      <c r="H2" s="59">
        <f>'Calculator with ROI'!F20</f>
        <v>0.6</v>
      </c>
      <c r="I2" s="59">
        <f>'Calculator with ROI'!G20</f>
        <v>1.4000000000000001</v>
      </c>
      <c r="J2" s="58">
        <f>'Calculator with ROI'!H20</f>
        <v>1.5257239460151635</v>
      </c>
      <c r="K2" s="17">
        <f>IF(OR(B2="",C2="",E2=""), "", (C2-B2)/SQRT(B2*(1-B2)/E2))</f>
        <v>0</v>
      </c>
      <c r="L2" s="18">
        <f>IF(K2="", "", 2*(1-_xlfn.NORM.S.DIST(ABS(K2), TRUE)))</f>
        <v>1</v>
      </c>
      <c r="M2" t="str">
        <f>IF(L2="","",IF(L2&lt;0.05,"Yes","No"))</f>
        <v>No</v>
      </c>
      <c r="N2" s="3" t="str">
        <f>IF(OR(B2="",C2=""),"", IF(AND(OR(F2&lt;G2, F2&gt;J2), M2="Yes"), "🚨 Critical",IF(AND(OR(F2&lt;H2, F2&gt;I2), M2="Yes"), "⚠️ Warning","✅ Healthy") ))</f>
        <v>✅ Healthy</v>
      </c>
      <c r="O2" s="2"/>
      <c r="P2" s="33">
        <f ca="1">TODAY()</f>
        <v>45969</v>
      </c>
    </row>
    <row r="3" spans="1:16" x14ac:dyDescent="0.35">
      <c r="A3" s="2" t="str">
        <f>'Calculator with ROI'!A21</f>
        <v>Ages 25-34</v>
      </c>
      <c r="B3" s="53">
        <f>'Calculator with ROI'!B21</f>
        <v>0.2</v>
      </c>
      <c r="C3" s="34">
        <f>'Calculator with ROI'!C21</f>
        <v>0.3</v>
      </c>
      <c r="D3" s="56">
        <f>'Calculator with ROI'!D21</f>
        <v>1537</v>
      </c>
      <c r="E3" s="31">
        <f>E2</f>
        <v>1000</v>
      </c>
      <c r="F3" s="3">
        <f>IF(B3&gt;0,IF(OR(B3="",C3=""),"",C3/B3),"N/A")</f>
        <v>1.4999999999999998</v>
      </c>
      <c r="G3" s="58">
        <f>'Calculator with ROI'!E21</f>
        <v>0.86856901349620907</v>
      </c>
      <c r="H3" s="59">
        <f>'Calculator with ROI'!F21</f>
        <v>0.9</v>
      </c>
      <c r="I3" s="59">
        <f>'Calculator with ROI'!G21</f>
        <v>1.0999999999999999</v>
      </c>
      <c r="J3" s="58">
        <f>'Calculator with ROI'!H21</f>
        <v>1.1314309865037908</v>
      </c>
      <c r="K3" s="17">
        <f>IF(OR(B3="",C3="",E3=""), "", (C3-B3)/SQRT(B3*(1-B3)/E3))</f>
        <v>7.9056941504209455</v>
      </c>
      <c r="L3" s="18">
        <f t="shared" ref="L3:L6" si="0">IF(K3="", "", 2*(1-_xlfn.NORM.S.DIST(ABS(K3), TRUE)))</f>
        <v>2.6645352591003757E-15</v>
      </c>
      <c r="M3" t="str">
        <f>IF(L3="","",IF(L3&lt;0.05,"Yes","No"))</f>
        <v>Yes</v>
      </c>
      <c r="N3" s="3" t="str">
        <f>IF(OR(B3="",C3=""),"", IF(AND(OR(F3&lt;G3, F3&gt;J3), M3="Yes"), "🚨 Critical",IF(AND(OR(F3&lt;H3, F3&gt;I3), M3="Yes"), "⚠️ Warning","✅ Healthy") ))</f>
        <v>🚨 Critical</v>
      </c>
      <c r="O3" s="2"/>
      <c r="P3" s="5">
        <f ca="1">P2</f>
        <v>45969</v>
      </c>
    </row>
    <row r="4" spans="1:16" x14ac:dyDescent="0.35">
      <c r="A4" s="2" t="str">
        <f>'Calculator with ROI'!A22</f>
        <v>Ages 35-50</v>
      </c>
      <c r="B4" s="53">
        <f>'Calculator with ROI'!B22</f>
        <v>0.5</v>
      </c>
      <c r="C4" s="34">
        <f>'Calculator with ROI'!C22</f>
        <v>0.34</v>
      </c>
      <c r="D4" s="56">
        <f>'Calculator with ROI'!D22</f>
        <v>2401</v>
      </c>
      <c r="E4" s="31">
        <f t="shared" ref="E4:E6" si="1">E3</f>
        <v>1000</v>
      </c>
      <c r="F4" s="3">
        <f>IF(B4&gt;0,IF(OR(B4="",C4=""),"",C4/B4),"N/A")</f>
        <v>0.68</v>
      </c>
      <c r="G4" s="58">
        <f>'Calculator with ROI'!E22</f>
        <v>0.94742760539848359</v>
      </c>
      <c r="H4" s="59">
        <f>'Calculator with ROI'!F22</f>
        <v>0.96</v>
      </c>
      <c r="I4" s="59">
        <f>'Calculator with ROI'!G22</f>
        <v>1.04</v>
      </c>
      <c r="J4" s="58">
        <f>'Calculator with ROI'!H22</f>
        <v>1.0525723946015164</v>
      </c>
      <c r="K4" s="17">
        <f>IF(OR(B4="",C4="",E4=""), "", (C4-B4)/SQRT(B4*(1-B4)/E4))</f>
        <v>-10.119288512538812</v>
      </c>
      <c r="L4" s="18">
        <f t="shared" si="0"/>
        <v>0</v>
      </c>
      <c r="M4" t="str">
        <f>IF(L4="","",IF(L4&lt;0.05,"Yes","No"))</f>
        <v>Yes</v>
      </c>
      <c r="N4" s="3" t="str">
        <f>IF(OR(B4="",C4=""),"", IF(AND(OR(F4&lt;G4, F4&gt;J4), M4="Yes"), "🚨 Critical",IF(AND(OR(F4&lt;H4, F4&gt;I4), M4="Yes"), "⚠️ Warning","✅ Healthy") ))</f>
        <v>🚨 Critical</v>
      </c>
      <c r="O4" s="2"/>
      <c r="P4" s="5">
        <f t="shared" ref="P4:P6" ca="1" si="2">P3</f>
        <v>45969</v>
      </c>
    </row>
    <row r="5" spans="1:16" x14ac:dyDescent="0.35">
      <c r="A5" s="2" t="str">
        <f>'Calculator with ROI'!A23</f>
        <v>Ages 51-65</v>
      </c>
      <c r="B5" s="53">
        <f>'Calculator with ROI'!B23</f>
        <v>0.2</v>
      </c>
      <c r="C5" s="34">
        <f>'Calculator with ROI'!C23</f>
        <v>0.25</v>
      </c>
      <c r="D5" s="56">
        <f>'Calculator with ROI'!D23</f>
        <v>1537</v>
      </c>
      <c r="E5" s="31">
        <f t="shared" si="1"/>
        <v>1000</v>
      </c>
      <c r="F5" s="3">
        <f>IF(B5&gt;0,IF(OR(B5="",C5=""),"",C5/B5),"N/A")</f>
        <v>1.25</v>
      </c>
      <c r="G5" s="58">
        <f>'Calculator with ROI'!E23</f>
        <v>0.86856901349620907</v>
      </c>
      <c r="H5" s="59">
        <f>'Calculator with ROI'!F23</f>
        <v>0.9</v>
      </c>
      <c r="I5" s="59">
        <f>'Calculator with ROI'!G23</f>
        <v>1.0999999999999999</v>
      </c>
      <c r="J5" s="58">
        <f>'Calculator with ROI'!H23</f>
        <v>1.1314309865037908</v>
      </c>
      <c r="K5" s="17">
        <f>IF(OR(B5="",C5="",E5=""), "", (C5-B5)/SQRT(B5*(1-B5)/E5))</f>
        <v>3.9528470752104727</v>
      </c>
      <c r="L5" s="18">
        <f t="shared" si="0"/>
        <v>7.7226795505369594E-5</v>
      </c>
      <c r="M5" t="str">
        <f>IF(L5="","",IF(L5&lt;0.05,"Yes","No"))</f>
        <v>Yes</v>
      </c>
      <c r="N5" s="3" t="str">
        <f>IF(OR(B5="",C5=""),"", IF(AND(OR(F5&lt;G5, F5&gt;J5), M5="Yes"), "🚨 Critical",IF(AND(OR(F5&lt;H5, F5&gt;I5), M5="Yes"), "⚠️ Warning","✅ Healthy") ))</f>
        <v>🚨 Critical</v>
      </c>
      <c r="O5" s="2"/>
      <c r="P5" s="5">
        <f t="shared" ca="1" si="2"/>
        <v>45969</v>
      </c>
    </row>
    <row r="6" spans="1:16" x14ac:dyDescent="0.35">
      <c r="A6" s="2" t="str">
        <f>'Calculator with ROI'!A24</f>
        <v>Ages 65+</v>
      </c>
      <c r="B6" s="53">
        <f>'Calculator with ROI'!B24</f>
        <v>0.05</v>
      </c>
      <c r="C6" s="34">
        <f>'Calculator with ROI'!C24</f>
        <v>0.06</v>
      </c>
      <c r="D6" s="56">
        <f>'Calculator with ROI'!D24</f>
        <v>457</v>
      </c>
      <c r="E6" s="31">
        <f t="shared" si="1"/>
        <v>1000</v>
      </c>
      <c r="F6" s="3">
        <f>IF(B6&gt;0,IF(OR(B6="",C6=""),"",C6/B6),"N/A")</f>
        <v>1.2</v>
      </c>
      <c r="G6" s="58">
        <f>'Calculator with ROI'!E24</f>
        <v>0.47427605398483647</v>
      </c>
      <c r="H6" s="59">
        <f>'Calculator with ROI'!F24</f>
        <v>0.6</v>
      </c>
      <c r="I6" s="59">
        <f>'Calculator with ROI'!G24</f>
        <v>1.4000000000000001</v>
      </c>
      <c r="J6" s="58">
        <f>'Calculator with ROI'!H24</f>
        <v>1.5257239460151635</v>
      </c>
      <c r="K6" s="17">
        <f>IF(OR(B6="",C6="",E6=""), "", (C6-B6)/SQRT(B6*(1-B6)/E6))</f>
        <v>1.4509525002200225</v>
      </c>
      <c r="L6" s="18">
        <f t="shared" si="0"/>
        <v>0.14679308730857121</v>
      </c>
      <c r="M6" t="str">
        <f>IF(L6="","",IF(L6&lt;0.05,"Yes","No"))</f>
        <v>No</v>
      </c>
      <c r="N6" s="3" t="str">
        <f>IF(OR(B6="",C6=""),"", IF(AND(OR(F6&lt;G6, F6&gt;J6), M6="Yes"), "🚨 Critical",IF(AND(OR(F6&lt;H6, F6&gt;I6), M6="Yes"), "⚠️ Warning","✅ Healthy") ))</f>
        <v>✅ Healthy</v>
      </c>
      <c r="O6" s="2"/>
      <c r="P6" s="5">
        <f t="shared" ca="1" si="2"/>
        <v>45969</v>
      </c>
    </row>
    <row r="7" spans="1:16" x14ac:dyDescent="0.35">
      <c r="A7" s="2" t="s">
        <v>15</v>
      </c>
      <c r="B7" s="35">
        <f>SUM(B2:B6)</f>
        <v>1</v>
      </c>
      <c r="C7" s="35">
        <f>SUM(C2:C6)</f>
        <v>1</v>
      </c>
      <c r="D7" s="2" t="s">
        <v>16</v>
      </c>
    </row>
    <row r="9" spans="1:16" x14ac:dyDescent="0.35">
      <c r="A9" s="97" t="s">
        <v>17</v>
      </c>
      <c r="B9" s="96"/>
      <c r="E9" s="32" t="s">
        <v>203</v>
      </c>
      <c r="F9" s="32"/>
    </row>
    <row r="10" spans="1:16" x14ac:dyDescent="0.35">
      <c r="A10" s="6" t="s">
        <v>18</v>
      </c>
      <c r="B10" s="7">
        <f>COUNTIF(N2:N6,"🚨 Critical")</f>
        <v>3</v>
      </c>
      <c r="E10" s="32" t="s">
        <v>202</v>
      </c>
      <c r="F10" s="32"/>
    </row>
    <row r="11" spans="1:16" x14ac:dyDescent="0.35">
      <c r="A11" s="6" t="s">
        <v>19</v>
      </c>
      <c r="B11" s="7">
        <f>COUNTIF(N2:N6,"⚠️ Warning")</f>
        <v>0</v>
      </c>
    </row>
    <row r="12" spans="1:16" x14ac:dyDescent="0.35">
      <c r="A12" s="6" t="s">
        <v>20</v>
      </c>
      <c r="B12" s="7">
        <f>COUNTIF(N2:N6,"✅ Healthy")</f>
        <v>2</v>
      </c>
    </row>
    <row r="13" spans="1:16" x14ac:dyDescent="0.35">
      <c r="A13" s="6" t="s">
        <v>21</v>
      </c>
      <c r="B13" s="8">
        <f>COUNTIF(N2:N6,"✅ Healthy")/COUNTA(N2:N6)</f>
        <v>0.4</v>
      </c>
    </row>
    <row r="15" spans="1:16" x14ac:dyDescent="0.35">
      <c r="A15" s="6" t="s">
        <v>22</v>
      </c>
    </row>
    <row r="16" spans="1:16" x14ac:dyDescent="0.35">
      <c r="A16" t="s">
        <v>23</v>
      </c>
    </row>
    <row r="17" spans="1:12" x14ac:dyDescent="0.35">
      <c r="A17" t="s">
        <v>24</v>
      </c>
    </row>
    <row r="18" spans="1:12" x14ac:dyDescent="0.35">
      <c r="A18" t="s">
        <v>25</v>
      </c>
    </row>
    <row r="19" spans="1:12" x14ac:dyDescent="0.35">
      <c r="A19" t="s">
        <v>26</v>
      </c>
    </row>
    <row r="20" spans="1:12" x14ac:dyDescent="0.35">
      <c r="A20" t="s">
        <v>27</v>
      </c>
    </row>
    <row r="22" spans="1:12" x14ac:dyDescent="0.35">
      <c r="A22" t="s">
        <v>28</v>
      </c>
    </row>
    <row r="23" spans="1:12" x14ac:dyDescent="0.35">
      <c r="A23" t="s">
        <v>29</v>
      </c>
    </row>
    <row r="24" spans="1:12" x14ac:dyDescent="0.35">
      <c r="A24" t="s">
        <v>30</v>
      </c>
    </row>
    <row r="25" spans="1:12" x14ac:dyDescent="0.35">
      <c r="A25" t="s">
        <v>31</v>
      </c>
    </row>
    <row r="28" spans="1:12" x14ac:dyDescent="0.35">
      <c r="A28" s="25" t="s">
        <v>191</v>
      </c>
      <c r="B28" s="26"/>
      <c r="C28" s="26"/>
      <c r="D28" s="26"/>
      <c r="E28" s="26"/>
      <c r="F28" s="26"/>
      <c r="G28" s="26"/>
      <c r="H28" s="26"/>
      <c r="I28" s="26"/>
      <c r="J28" s="26"/>
      <c r="K28" s="26"/>
      <c r="L28" s="26"/>
    </row>
    <row r="29" spans="1:12" x14ac:dyDescent="0.35">
      <c r="A29" s="26" t="s">
        <v>192</v>
      </c>
      <c r="B29" s="26"/>
      <c r="C29" s="26"/>
      <c r="D29" s="26"/>
      <c r="E29" s="26"/>
      <c r="F29" s="26"/>
      <c r="G29" s="26"/>
      <c r="H29" s="26"/>
      <c r="I29" s="26"/>
      <c r="J29" s="26"/>
      <c r="K29" s="26"/>
      <c r="L29" s="26"/>
    </row>
    <row r="30" spans="1:12" x14ac:dyDescent="0.35">
      <c r="A30" s="26" t="s">
        <v>193</v>
      </c>
      <c r="B30" s="26"/>
      <c r="C30" s="26"/>
      <c r="D30" s="26"/>
      <c r="E30" s="26"/>
      <c r="F30" s="26"/>
      <c r="G30" s="26"/>
      <c r="H30" s="26"/>
      <c r="I30" s="26"/>
      <c r="J30" s="26"/>
      <c r="K30" s="26"/>
      <c r="L30" s="26"/>
    </row>
    <row r="31" spans="1:12" x14ac:dyDescent="0.35">
      <c r="A31" s="26" t="s">
        <v>194</v>
      </c>
      <c r="B31" s="26"/>
      <c r="C31" s="26"/>
      <c r="D31" s="26"/>
      <c r="E31" s="26"/>
      <c r="F31" s="26"/>
      <c r="G31" s="26"/>
      <c r="H31" s="26"/>
      <c r="I31" s="26"/>
      <c r="J31" s="26"/>
      <c r="K31" s="26"/>
      <c r="L31" s="26"/>
    </row>
    <row r="32" spans="1:12" x14ac:dyDescent="0.35">
      <c r="A32" s="26" t="s">
        <v>195</v>
      </c>
      <c r="B32" s="26"/>
      <c r="C32" s="26"/>
      <c r="D32" s="26"/>
      <c r="E32" s="26"/>
      <c r="F32" s="26"/>
      <c r="G32" s="26"/>
      <c r="H32" s="26"/>
      <c r="I32" s="26"/>
      <c r="J32" s="26"/>
      <c r="K32" s="26"/>
      <c r="L32" s="26"/>
    </row>
    <row r="33" spans="1:12" x14ac:dyDescent="0.35">
      <c r="A33" s="26" t="s">
        <v>196</v>
      </c>
      <c r="B33" s="26"/>
      <c r="C33" s="26"/>
      <c r="D33" s="26"/>
      <c r="E33" s="26"/>
      <c r="F33" s="26"/>
      <c r="G33" s="26"/>
      <c r="H33" s="26"/>
      <c r="I33" s="26"/>
      <c r="J33" s="26"/>
      <c r="K33" s="26"/>
      <c r="L33" s="26"/>
    </row>
  </sheetData>
  <mergeCells count="1">
    <mergeCell ref="A9:B9"/>
  </mergeCells>
  <conditionalFormatting sqref="D2:D6">
    <cfRule type="expression" dxfId="7" priority="1">
      <formula>(D2&lt;=E2)</formula>
    </cfRule>
    <cfRule type="expression" dxfId="6" priority="2">
      <formula>(D2&gt;E2)</formula>
    </cfRule>
  </conditionalFormatting>
  <conditionalFormatting sqref="F2:F6">
    <cfRule type="expression" dxfId="5" priority="9">
      <formula>AND(F2&gt;=H2,F2&lt;=I2)</formula>
    </cfRule>
    <cfRule type="expression" dxfId="4" priority="10">
      <formula>OR(AND(F2&gt;=G2,F2&lt;H2),AND(F2&gt;I2,F2&lt;=J2))</formula>
    </cfRule>
    <cfRule type="expression" dxfId="3" priority="11">
      <formula>OR(F2&lt;G2,F2&gt;J2)</formula>
    </cfRule>
  </conditionalFormatting>
  <conditionalFormatting sqref="N2:N6">
    <cfRule type="expression" dxfId="2" priority="12">
      <formula>AND(F2&gt;=H2,F2&lt;=I2)</formula>
    </cfRule>
    <cfRule type="expression" dxfId="1" priority="13">
      <formula>OR(AND(F2&gt;=G2,F2&lt;H2),AND(F2&gt;I2,F2&lt;=J2))</formula>
    </cfRule>
    <cfRule type="expression" dxfId="0" priority="14">
      <formula>OR(F2&lt;G2,F2&gt;J2)</formula>
    </cfRule>
  </conditionalFormatting>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
  <sheetViews>
    <sheetView workbookViewId="0">
      <selection activeCell="D2" sqref="D2"/>
    </sheetView>
  </sheetViews>
  <sheetFormatPr defaultRowHeight="14.5" x14ac:dyDescent="0.35"/>
  <cols>
    <col min="1" max="1" width="18.36328125" bestFit="1" customWidth="1"/>
    <col min="2" max="2" width="55.6328125" bestFit="1" customWidth="1"/>
    <col min="3" max="5" width="15" customWidth="1"/>
    <col min="6" max="6" width="12" customWidth="1"/>
    <col min="7" max="7" width="15" customWidth="1"/>
    <col min="8" max="8" width="30" style="29" customWidth="1"/>
  </cols>
  <sheetData>
    <row r="1" spans="1:8" ht="28.5" customHeight="1" x14ac:dyDescent="0.35">
      <c r="A1" s="1" t="s">
        <v>32</v>
      </c>
      <c r="B1" s="1" t="s">
        <v>33</v>
      </c>
      <c r="C1" s="1" t="s">
        <v>7</v>
      </c>
      <c r="D1" s="1" t="s">
        <v>34</v>
      </c>
      <c r="E1" s="1" t="s">
        <v>35</v>
      </c>
      <c r="F1" s="1" t="s">
        <v>36</v>
      </c>
      <c r="G1" s="1" t="s">
        <v>37</v>
      </c>
      <c r="H1" s="27" t="s">
        <v>8</v>
      </c>
    </row>
    <row r="2" spans="1:8" ht="28.5" customHeight="1" x14ac:dyDescent="0.35">
      <c r="A2" s="2" t="s">
        <v>38</v>
      </c>
      <c r="B2" s="2" t="s">
        <v>39</v>
      </c>
      <c r="C2" s="9" t="s">
        <v>40</v>
      </c>
      <c r="D2" s="9"/>
      <c r="E2" s="9"/>
      <c r="F2" s="9">
        <v>0</v>
      </c>
      <c r="G2" s="9"/>
      <c r="H2" s="28" t="s">
        <v>41</v>
      </c>
    </row>
    <row r="3" spans="1:8" ht="28.5" customHeight="1" x14ac:dyDescent="0.35">
      <c r="A3" s="2" t="s">
        <v>38</v>
      </c>
      <c r="B3" s="2" t="s">
        <v>42</v>
      </c>
      <c r="C3" s="9" t="s">
        <v>40</v>
      </c>
      <c r="D3" s="9"/>
      <c r="E3" s="9"/>
      <c r="F3" s="9">
        <v>0</v>
      </c>
      <c r="G3" s="9"/>
      <c r="H3" s="28" t="s">
        <v>43</v>
      </c>
    </row>
    <row r="4" spans="1:8" ht="28.5" customHeight="1" x14ac:dyDescent="0.35">
      <c r="A4" s="2" t="s">
        <v>38</v>
      </c>
      <c r="B4" s="2" t="s">
        <v>44</v>
      </c>
      <c r="C4" s="9" t="s">
        <v>40</v>
      </c>
      <c r="D4" s="9"/>
      <c r="E4" s="9"/>
      <c r="F4" s="9">
        <v>0</v>
      </c>
      <c r="G4" s="9"/>
      <c r="H4" s="28" t="s">
        <v>45</v>
      </c>
    </row>
    <row r="5" spans="1:8" ht="28.5" customHeight="1" x14ac:dyDescent="0.35">
      <c r="A5" s="2" t="s">
        <v>46</v>
      </c>
      <c r="B5" s="2" t="s">
        <v>197</v>
      </c>
      <c r="C5" s="9" t="s">
        <v>40</v>
      </c>
      <c r="D5" s="9"/>
      <c r="E5" s="9"/>
      <c r="F5" s="9">
        <v>0</v>
      </c>
      <c r="G5" s="9"/>
      <c r="H5" s="28" t="s">
        <v>198</v>
      </c>
    </row>
    <row r="6" spans="1:8" ht="28.5" customHeight="1" x14ac:dyDescent="0.35">
      <c r="A6" s="2" t="s">
        <v>46</v>
      </c>
      <c r="B6" s="2" t="s">
        <v>47</v>
      </c>
      <c r="C6" s="9" t="s">
        <v>40</v>
      </c>
      <c r="D6" s="9"/>
      <c r="E6" s="9"/>
      <c r="F6" s="9">
        <v>0</v>
      </c>
      <c r="G6" s="9"/>
      <c r="H6" s="28" t="s">
        <v>48</v>
      </c>
    </row>
    <row r="7" spans="1:8" ht="28.5" customHeight="1" x14ac:dyDescent="0.35">
      <c r="A7" s="2" t="s">
        <v>46</v>
      </c>
      <c r="B7" s="2" t="s">
        <v>49</v>
      </c>
      <c r="C7" s="9" t="s">
        <v>40</v>
      </c>
      <c r="D7" s="9"/>
      <c r="E7" s="9"/>
      <c r="F7" s="9">
        <v>0</v>
      </c>
      <c r="G7" s="9"/>
      <c r="H7" s="28" t="s">
        <v>200</v>
      </c>
    </row>
    <row r="8" spans="1:8" ht="28.5" customHeight="1" x14ac:dyDescent="0.35">
      <c r="A8" s="2" t="s">
        <v>50</v>
      </c>
      <c r="B8" s="2" t="s">
        <v>51</v>
      </c>
      <c r="C8" s="9" t="s">
        <v>40</v>
      </c>
      <c r="D8" s="9"/>
      <c r="E8" s="9"/>
      <c r="F8" s="9">
        <v>0</v>
      </c>
      <c r="G8" s="9"/>
      <c r="H8" s="28" t="s">
        <v>52</v>
      </c>
    </row>
    <row r="9" spans="1:8" ht="28.5" customHeight="1" x14ac:dyDescent="0.35">
      <c r="A9" s="2" t="s">
        <v>50</v>
      </c>
      <c r="B9" s="2" t="s">
        <v>53</v>
      </c>
      <c r="C9" s="9" t="s">
        <v>40</v>
      </c>
      <c r="D9" s="9"/>
      <c r="E9" s="9"/>
      <c r="F9" s="9">
        <v>0</v>
      </c>
      <c r="G9" s="9"/>
      <c r="H9" s="28" t="s">
        <v>54</v>
      </c>
    </row>
    <row r="10" spans="1:8" ht="28.5" customHeight="1" x14ac:dyDescent="0.35">
      <c r="A10" s="2" t="s">
        <v>50</v>
      </c>
      <c r="B10" s="2" t="s">
        <v>55</v>
      </c>
      <c r="C10" s="9" t="s">
        <v>40</v>
      </c>
      <c r="D10" s="9"/>
      <c r="E10" s="9"/>
      <c r="F10" s="9">
        <v>0</v>
      </c>
      <c r="G10" s="9"/>
      <c r="H10" s="28" t="s">
        <v>56</v>
      </c>
    </row>
    <row r="11" spans="1:8" ht="28.5" customHeight="1" x14ac:dyDescent="0.35">
      <c r="A11" s="2" t="s">
        <v>57</v>
      </c>
      <c r="B11" s="2" t="s">
        <v>58</v>
      </c>
      <c r="C11" s="9" t="s">
        <v>40</v>
      </c>
      <c r="D11" s="9"/>
      <c r="E11" s="9"/>
      <c r="F11" s="9">
        <v>0</v>
      </c>
      <c r="G11" s="9"/>
      <c r="H11" s="28" t="s">
        <v>59</v>
      </c>
    </row>
    <row r="12" spans="1:8" ht="28.5" customHeight="1" x14ac:dyDescent="0.35">
      <c r="A12" s="2" t="s">
        <v>57</v>
      </c>
      <c r="B12" s="2" t="s">
        <v>60</v>
      </c>
      <c r="C12" s="9" t="s">
        <v>40</v>
      </c>
      <c r="D12" s="9"/>
      <c r="E12" s="9"/>
      <c r="F12" s="9">
        <v>0</v>
      </c>
      <c r="G12" s="9"/>
      <c r="H12" s="28" t="s">
        <v>61</v>
      </c>
    </row>
    <row r="13" spans="1:8" ht="28.5" customHeight="1" x14ac:dyDescent="0.35">
      <c r="A13" s="2" t="s">
        <v>57</v>
      </c>
      <c r="B13" s="2" t="s">
        <v>62</v>
      </c>
      <c r="C13" s="9" t="s">
        <v>40</v>
      </c>
      <c r="D13" s="9"/>
      <c r="E13" s="9"/>
      <c r="F13" s="9">
        <v>0</v>
      </c>
      <c r="G13" s="9"/>
      <c r="H13" s="28" t="s">
        <v>63</v>
      </c>
    </row>
    <row r="14" spans="1:8" ht="28.5" customHeight="1" x14ac:dyDescent="0.35">
      <c r="A14" s="2" t="s">
        <v>64</v>
      </c>
      <c r="B14" s="2" t="s">
        <v>65</v>
      </c>
      <c r="C14" s="9" t="s">
        <v>40</v>
      </c>
      <c r="D14" s="9"/>
      <c r="E14" s="9"/>
      <c r="F14" s="9">
        <v>0</v>
      </c>
      <c r="G14" s="9"/>
      <c r="H14" s="28" t="s">
        <v>66</v>
      </c>
    </row>
    <row r="15" spans="1:8" ht="28.5" customHeight="1" x14ac:dyDescent="0.35">
      <c r="A15" s="2" t="s">
        <v>64</v>
      </c>
      <c r="B15" s="2" t="s">
        <v>67</v>
      </c>
      <c r="C15" s="9" t="s">
        <v>40</v>
      </c>
      <c r="D15" s="9"/>
      <c r="E15" s="9"/>
      <c r="F15" s="9">
        <v>0</v>
      </c>
      <c r="G15" s="9"/>
      <c r="H15" s="28" t="s">
        <v>68</v>
      </c>
    </row>
    <row r="16" spans="1:8" ht="28.5" customHeight="1" x14ac:dyDescent="0.35">
      <c r="A16" s="2" t="s">
        <v>64</v>
      </c>
      <c r="B16" s="2" t="s">
        <v>69</v>
      </c>
      <c r="C16" s="9" t="s">
        <v>40</v>
      </c>
      <c r="D16" s="9"/>
      <c r="E16" s="9"/>
      <c r="F16" s="9">
        <v>0</v>
      </c>
      <c r="G16" s="9"/>
      <c r="H16" s="28" t="s">
        <v>70</v>
      </c>
    </row>
    <row r="18" spans="1:2" x14ac:dyDescent="0.35">
      <c r="A18" s="97" t="s">
        <v>71</v>
      </c>
      <c r="B18" s="96"/>
    </row>
    <row r="19" spans="1:2" x14ac:dyDescent="0.35">
      <c r="A19" s="6" t="s">
        <v>72</v>
      </c>
      <c r="B19" s="7">
        <f>COUNTA(A2:A16)</f>
        <v>15</v>
      </c>
    </row>
    <row r="20" spans="1:2" x14ac:dyDescent="0.35">
      <c r="A20" s="6" t="s">
        <v>73</v>
      </c>
      <c r="B20" s="7">
        <f>COUNTIF(C2:C16,"Completed")</f>
        <v>0</v>
      </c>
    </row>
    <row r="21" spans="1:2" x14ac:dyDescent="0.35">
      <c r="A21" s="6" t="s">
        <v>74</v>
      </c>
      <c r="B21" s="7">
        <f>COUNTIF(C2:C16,"In Progress")</f>
        <v>0</v>
      </c>
    </row>
    <row r="22" spans="1:2" x14ac:dyDescent="0.35">
      <c r="A22" s="6" t="s">
        <v>75</v>
      </c>
      <c r="B22" s="8">
        <f>B20/B19</f>
        <v>0</v>
      </c>
    </row>
    <row r="23" spans="1:2" x14ac:dyDescent="0.35">
      <c r="A23" s="6" t="s">
        <v>76</v>
      </c>
      <c r="B23" s="7">
        <f>SUM(F2:F16)</f>
        <v>0</v>
      </c>
    </row>
  </sheetData>
  <mergeCells count="1">
    <mergeCell ref="A18:B18"/>
  </mergeCells>
  <dataValidations count="1">
    <dataValidation type="list" sqref="C2 C3 C4 C5 C6 C7 C8 C9 C10 C11 C12 C13 C14 C15 C16" xr:uid="{00000000-0002-0000-0100-000000000000}">
      <formula1>"Not Started,In Progress,Completed,Blocked,Skipped"</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topLeftCell="A3" workbookViewId="0">
      <selection activeCell="C5" sqref="C5"/>
    </sheetView>
  </sheetViews>
  <sheetFormatPr defaultRowHeight="14.5" x14ac:dyDescent="0.35"/>
  <cols>
    <col min="1" max="1" width="35" customWidth="1"/>
    <col min="2" max="2" width="18" customWidth="1"/>
    <col min="3" max="3" width="15" customWidth="1"/>
    <col min="4" max="4" width="40" customWidth="1"/>
    <col min="5" max="5" width="18" customWidth="1"/>
    <col min="6" max="6" width="15" customWidth="1"/>
    <col min="7" max="7" width="10" customWidth="1"/>
  </cols>
  <sheetData>
    <row r="1" spans="1:4" ht="18.5" x14ac:dyDescent="0.45">
      <c r="A1" s="19" t="s">
        <v>77</v>
      </c>
    </row>
    <row r="2" spans="1:4" x14ac:dyDescent="0.35">
      <c r="A2" s="20" t="s">
        <v>78</v>
      </c>
    </row>
    <row r="4" spans="1:4" x14ac:dyDescent="0.35">
      <c r="A4" s="117" t="s">
        <v>79</v>
      </c>
      <c r="B4" s="96"/>
      <c r="C4" s="96"/>
    </row>
    <row r="5" spans="1:4" x14ac:dyDescent="0.35">
      <c r="A5" t="s">
        <v>80</v>
      </c>
      <c r="B5" t="s">
        <v>81</v>
      </c>
      <c r="C5" s="32">
        <v>10000</v>
      </c>
      <c r="D5" t="s">
        <v>82</v>
      </c>
    </row>
    <row r="6" spans="1:4" x14ac:dyDescent="0.35">
      <c r="A6" t="s">
        <v>83</v>
      </c>
      <c r="B6" t="s">
        <v>84</v>
      </c>
      <c r="C6" s="32">
        <v>1200</v>
      </c>
      <c r="D6" t="s">
        <v>85</v>
      </c>
    </row>
    <row r="7" spans="1:4" x14ac:dyDescent="0.35">
      <c r="A7" t="s">
        <v>86</v>
      </c>
      <c r="B7" t="s">
        <v>87</v>
      </c>
      <c r="C7" s="85">
        <f>C5*C6</f>
        <v>12000000</v>
      </c>
      <c r="D7" t="s">
        <v>88</v>
      </c>
    </row>
    <row r="9" spans="1:4" x14ac:dyDescent="0.35">
      <c r="A9" s="117" t="s">
        <v>89</v>
      </c>
      <c r="B9" s="96"/>
      <c r="C9" s="96"/>
    </row>
    <row r="10" spans="1:4" x14ac:dyDescent="0.35">
      <c r="A10" t="s">
        <v>90</v>
      </c>
      <c r="B10" t="s">
        <v>81</v>
      </c>
      <c r="C10" s="32">
        <v>1000</v>
      </c>
      <c r="D10" t="s">
        <v>91</v>
      </c>
    </row>
    <row r="11" spans="1:4" x14ac:dyDescent="0.35">
      <c r="A11" t="s">
        <v>92</v>
      </c>
      <c r="B11" t="s">
        <v>87</v>
      </c>
      <c r="C11" s="84">
        <f>C10/C5</f>
        <v>0.1</v>
      </c>
      <c r="D11" t="s">
        <v>93</v>
      </c>
    </row>
    <row r="12" spans="1:4" x14ac:dyDescent="0.35">
      <c r="A12" t="s">
        <v>94</v>
      </c>
      <c r="B12" t="s">
        <v>87</v>
      </c>
      <c r="C12" s="85">
        <f>C10*C6</f>
        <v>1200000</v>
      </c>
      <c r="D12" t="s">
        <v>95</v>
      </c>
    </row>
    <row r="14" spans="1:4" x14ac:dyDescent="0.35">
      <c r="A14" s="100" t="s">
        <v>199</v>
      </c>
      <c r="B14" s="96"/>
      <c r="C14" s="96"/>
    </row>
    <row r="15" spans="1:4" x14ac:dyDescent="0.35">
      <c r="A15" t="s">
        <v>96</v>
      </c>
      <c r="B15" t="s">
        <v>97</v>
      </c>
      <c r="C15" s="86">
        <v>0.3</v>
      </c>
      <c r="D15" t="s">
        <v>98</v>
      </c>
    </row>
    <row r="16" spans="1:4" x14ac:dyDescent="0.35">
      <c r="A16" t="s">
        <v>99</v>
      </c>
      <c r="B16" t="s">
        <v>97</v>
      </c>
      <c r="C16" s="86">
        <v>0.12</v>
      </c>
      <c r="D16" t="s">
        <v>100</v>
      </c>
    </row>
    <row r="17" spans="1:7" x14ac:dyDescent="0.35">
      <c r="A17" s="89" t="s">
        <v>101</v>
      </c>
      <c r="B17" s="89" t="s">
        <v>87</v>
      </c>
      <c r="C17" s="88">
        <f>C15-C16</f>
        <v>0.18</v>
      </c>
      <c r="D17" s="89" t="s">
        <v>102</v>
      </c>
    </row>
    <row r="18" spans="1:7" x14ac:dyDescent="0.35">
      <c r="A18" t="s">
        <v>103</v>
      </c>
      <c r="B18" t="s">
        <v>97</v>
      </c>
      <c r="C18" s="87">
        <v>1E-3</v>
      </c>
      <c r="D18" t="s">
        <v>104</v>
      </c>
    </row>
    <row r="20" spans="1:7" x14ac:dyDescent="0.35">
      <c r="A20" s="117" t="s">
        <v>105</v>
      </c>
      <c r="B20" s="96"/>
      <c r="C20" s="96"/>
    </row>
    <row r="21" spans="1:7" x14ac:dyDescent="0.35">
      <c r="A21" t="s">
        <v>106</v>
      </c>
      <c r="B21" t="s">
        <v>87</v>
      </c>
      <c r="C21" s="91">
        <f>C5*C17</f>
        <v>1800</v>
      </c>
      <c r="D21" t="s">
        <v>107</v>
      </c>
    </row>
    <row r="22" spans="1:7" x14ac:dyDescent="0.35">
      <c r="A22" t="s">
        <v>108</v>
      </c>
      <c r="B22" t="s">
        <v>109</v>
      </c>
      <c r="C22" s="86">
        <v>0.25</v>
      </c>
      <c r="D22" t="s">
        <v>110</v>
      </c>
    </row>
    <row r="23" spans="1:7" x14ac:dyDescent="0.35">
      <c r="A23" t="s">
        <v>111</v>
      </c>
      <c r="B23" t="s">
        <v>87</v>
      </c>
      <c r="C23" s="90">
        <f>C21*C22*C6</f>
        <v>540000</v>
      </c>
      <c r="D23" t="s">
        <v>112</v>
      </c>
    </row>
    <row r="25" spans="1:7" ht="15.5" x14ac:dyDescent="0.35">
      <c r="A25" s="118" t="s">
        <v>113</v>
      </c>
      <c r="B25" s="119"/>
      <c r="C25" s="93">
        <f>C23</f>
        <v>540000</v>
      </c>
      <c r="D25" s="21" t="s">
        <v>114</v>
      </c>
    </row>
    <row r="28" spans="1:7" x14ac:dyDescent="0.35">
      <c r="A28" s="117" t="s">
        <v>115</v>
      </c>
      <c r="B28" s="96"/>
      <c r="C28" s="96"/>
      <c r="D28" s="96"/>
      <c r="E28" s="96"/>
      <c r="F28" s="96"/>
      <c r="G28" s="96"/>
    </row>
    <row r="29" spans="1:7" ht="31" x14ac:dyDescent="0.35">
      <c r="A29" s="22" t="s">
        <v>116</v>
      </c>
      <c r="B29" s="22" t="s">
        <v>117</v>
      </c>
      <c r="C29" s="22" t="s">
        <v>118</v>
      </c>
      <c r="D29" s="22" t="s">
        <v>119</v>
      </c>
      <c r="E29" s="22" t="s">
        <v>120</v>
      </c>
      <c r="F29" s="22" t="s">
        <v>121</v>
      </c>
      <c r="G29" s="22" t="s">
        <v>122</v>
      </c>
    </row>
    <row r="30" spans="1:7" x14ac:dyDescent="0.35">
      <c r="A30" t="s">
        <v>123</v>
      </c>
      <c r="B30" s="32" t="s">
        <v>124</v>
      </c>
      <c r="C30" s="84">
        <f>C17*B30</f>
        <v>4.4999999999999998E-2</v>
      </c>
      <c r="D30" s="90">
        <f>$C$21*B30*$C$6</f>
        <v>540000</v>
      </c>
      <c r="E30" s="94">
        <v>10000</v>
      </c>
      <c r="F30" s="90">
        <f>D30-E30</f>
        <v>530000</v>
      </c>
      <c r="G30" s="95">
        <f>F30/E30</f>
        <v>53</v>
      </c>
    </row>
    <row r="31" spans="1:7" x14ac:dyDescent="0.35">
      <c r="A31" t="s">
        <v>125</v>
      </c>
      <c r="B31" s="32" t="s">
        <v>126</v>
      </c>
      <c r="C31" s="84">
        <f>C17*B31</f>
        <v>0.09</v>
      </c>
      <c r="D31" s="90">
        <f t="shared" ref="D31:D32" si="0">$C$21*B31*$C$6</f>
        <v>1080000</v>
      </c>
      <c r="E31" s="94">
        <v>25000</v>
      </c>
      <c r="F31" s="90">
        <f>D31-E31</f>
        <v>1055000</v>
      </c>
      <c r="G31" s="95">
        <f>F31/E31</f>
        <v>42.2</v>
      </c>
    </row>
    <row r="32" spans="1:7" x14ac:dyDescent="0.35">
      <c r="A32" t="s">
        <v>127</v>
      </c>
      <c r="B32" s="32" t="s">
        <v>128</v>
      </c>
      <c r="C32" s="84">
        <f>C17*B32</f>
        <v>0.13500000000000001</v>
      </c>
      <c r="D32" s="90">
        <f t="shared" si="0"/>
        <v>1620000</v>
      </c>
      <c r="E32" s="94">
        <v>50000</v>
      </c>
      <c r="F32" s="90">
        <f>D32-E32</f>
        <v>1570000</v>
      </c>
      <c r="G32" s="95">
        <f>F32/E32</f>
        <v>31.4</v>
      </c>
    </row>
    <row r="34" spans="1:1" x14ac:dyDescent="0.35">
      <c r="A34" s="23" t="s">
        <v>129</v>
      </c>
    </row>
    <row r="35" spans="1:1" x14ac:dyDescent="0.35">
      <c r="A35" t="s">
        <v>130</v>
      </c>
    </row>
    <row r="36" spans="1:1" x14ac:dyDescent="0.35">
      <c r="A36" t="s">
        <v>131</v>
      </c>
    </row>
    <row r="37" spans="1:1" x14ac:dyDescent="0.35">
      <c r="A37" t="s">
        <v>132</v>
      </c>
    </row>
    <row r="38" spans="1:1" x14ac:dyDescent="0.35">
      <c r="A38" t="s">
        <v>133</v>
      </c>
    </row>
    <row r="39" spans="1:1" x14ac:dyDescent="0.35">
      <c r="A39" t="s">
        <v>134</v>
      </c>
    </row>
    <row r="40" spans="1:1" x14ac:dyDescent="0.35">
      <c r="A40" t="s">
        <v>135</v>
      </c>
    </row>
    <row r="42" spans="1:1" x14ac:dyDescent="0.35">
      <c r="A42" s="24" t="s">
        <v>136</v>
      </c>
    </row>
    <row r="43" spans="1:1" x14ac:dyDescent="0.35">
      <c r="A43" t="s">
        <v>137</v>
      </c>
    </row>
  </sheetData>
  <mergeCells count="6">
    <mergeCell ref="A28:G28"/>
    <mergeCell ref="A25:B25"/>
    <mergeCell ref="A14:C14"/>
    <mergeCell ref="A9:C9"/>
    <mergeCell ref="A4:C4"/>
    <mergeCell ref="A20:C2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workbookViewId="0">
      <selection activeCell="A2" sqref="A2"/>
    </sheetView>
  </sheetViews>
  <sheetFormatPr defaultRowHeight="14.5" x14ac:dyDescent="0.35"/>
  <cols>
    <col min="1" max="1" width="19.453125" bestFit="1" customWidth="1"/>
    <col min="2" max="2" width="20" customWidth="1"/>
    <col min="3" max="3" width="22" customWidth="1"/>
    <col min="4" max="4" width="18" customWidth="1"/>
    <col min="5" max="5" width="10" customWidth="1"/>
    <col min="6" max="8" width="35" customWidth="1"/>
    <col min="9" max="10" width="15" customWidth="1"/>
  </cols>
  <sheetData>
    <row r="1" spans="1:10" x14ac:dyDescent="0.35">
      <c r="A1" s="10" t="s">
        <v>138</v>
      </c>
      <c r="B1" s="10" t="s">
        <v>139</v>
      </c>
      <c r="C1" s="10" t="s">
        <v>140</v>
      </c>
      <c r="D1" s="10" t="s">
        <v>141</v>
      </c>
      <c r="E1" s="10" t="s">
        <v>2</v>
      </c>
      <c r="F1" s="10" t="s">
        <v>142</v>
      </c>
      <c r="G1" s="10" t="s">
        <v>143</v>
      </c>
      <c r="H1" s="10" t="s">
        <v>144</v>
      </c>
      <c r="I1" s="10" t="s">
        <v>7</v>
      </c>
      <c r="J1" s="10" t="s">
        <v>145</v>
      </c>
    </row>
    <row r="2" spans="1:10" x14ac:dyDescent="0.35">
      <c r="A2" s="11">
        <f ca="1">TODAY()</f>
        <v>45969</v>
      </c>
      <c r="B2" s="9" t="s">
        <v>146</v>
      </c>
      <c r="C2" s="9" t="s">
        <v>147</v>
      </c>
      <c r="D2" s="9" t="s">
        <v>148</v>
      </c>
      <c r="E2" s="12">
        <v>0.53</v>
      </c>
      <c r="F2" s="9" t="s">
        <v>149</v>
      </c>
      <c r="G2" s="9" t="s">
        <v>150</v>
      </c>
      <c r="H2" s="9" t="s">
        <v>151</v>
      </c>
      <c r="I2" s="9" t="s">
        <v>152</v>
      </c>
      <c r="J2" s="11">
        <f ca="1">TODAY()+30</f>
        <v>45999</v>
      </c>
    </row>
    <row r="3" spans="1:10" x14ac:dyDescent="0.35">
      <c r="A3" s="11">
        <f ca="1">TODAY()-7</f>
        <v>45962</v>
      </c>
      <c r="B3" s="9" t="s">
        <v>153</v>
      </c>
      <c r="C3" s="9" t="s">
        <v>154</v>
      </c>
      <c r="D3" s="9" t="s">
        <v>155</v>
      </c>
      <c r="E3" s="12">
        <v>0.72</v>
      </c>
      <c r="F3" s="9" t="s">
        <v>156</v>
      </c>
      <c r="G3" s="9" t="s">
        <v>157</v>
      </c>
      <c r="H3" s="9" t="s">
        <v>158</v>
      </c>
      <c r="I3" s="9" t="s">
        <v>74</v>
      </c>
      <c r="J3" s="11">
        <f ca="1">TODAY()+14</f>
        <v>45983</v>
      </c>
    </row>
    <row r="10" spans="1:10" x14ac:dyDescent="0.35">
      <c r="A10" s="120" t="s">
        <v>17</v>
      </c>
      <c r="B10" s="96"/>
    </row>
    <row r="11" spans="1:10" x14ac:dyDescent="0.35">
      <c r="A11" s="13" t="s">
        <v>159</v>
      </c>
      <c r="B11" s="7">
        <f ca="1">COUNTA(A2:A9)</f>
        <v>2</v>
      </c>
    </row>
    <row r="12" spans="1:10" x14ac:dyDescent="0.35">
      <c r="A12" s="13" t="s">
        <v>160</v>
      </c>
      <c r="B12" s="7">
        <f>SUMPRODUCT((I2:I9="Identified")+(I2:I9="Investigating")+(I2:I9="Fix in Progress"))</f>
        <v>0</v>
      </c>
    </row>
    <row r="13" spans="1:10" x14ac:dyDescent="0.35">
      <c r="A13" s="13" t="s">
        <v>161</v>
      </c>
      <c r="B13" s="7">
        <f>COUNTIF(I2:I9,"Monitoring")</f>
        <v>0</v>
      </c>
    </row>
    <row r="14" spans="1:10" x14ac:dyDescent="0.35">
      <c r="A14" s="13" t="s">
        <v>162</v>
      </c>
      <c r="B14" s="7">
        <f>COUNTIF(I2:I9,"Closed")</f>
        <v>0</v>
      </c>
    </row>
  </sheetData>
  <mergeCells count="1">
    <mergeCell ref="A10:B10"/>
  </mergeCells>
  <dataValidations count="2">
    <dataValidation type="list" sqref="C2 C3" xr:uid="{00000000-0002-0000-0300-000000000000}">
      <formula1>"Automation Bias,Data Representation Bias,Confirmation Bias Loop,Survivorship Bias,Other"</formula1>
    </dataValidation>
    <dataValidation type="list" sqref="I2 I3" xr:uid="{00000000-0002-0000-0300-000001000000}">
      <formula1>"Identified,Investigating,Fix in Progress,Fixed,Monitoring,Closed"</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workbookViewId="0">
      <selection activeCell="B5" sqref="B5"/>
    </sheetView>
  </sheetViews>
  <sheetFormatPr defaultRowHeight="14.5" x14ac:dyDescent="0.35"/>
  <cols>
    <col min="1" max="1" width="25" customWidth="1"/>
    <col min="2" max="2" width="12" customWidth="1"/>
    <col min="3" max="3" width="18" customWidth="1"/>
    <col min="4" max="5" width="12" customWidth="1"/>
    <col min="6" max="6" width="15" customWidth="1"/>
  </cols>
  <sheetData>
    <row r="1" spans="1:10" ht="18.5" customHeight="1" x14ac:dyDescent="0.45">
      <c r="A1" s="121" t="s">
        <v>163</v>
      </c>
      <c r="B1" s="96"/>
      <c r="C1" s="96"/>
      <c r="D1" s="96"/>
      <c r="E1" s="96"/>
      <c r="F1" s="96"/>
    </row>
    <row r="2" spans="1:10" x14ac:dyDescent="0.35">
      <c r="A2" s="13" t="s">
        <v>164</v>
      </c>
    </row>
    <row r="4" spans="1:10" x14ac:dyDescent="0.35">
      <c r="A4" s="10" t="s">
        <v>165</v>
      </c>
      <c r="B4" s="10" t="s">
        <v>166</v>
      </c>
      <c r="C4" s="10" t="s">
        <v>167</v>
      </c>
      <c r="D4" s="10" t="s">
        <v>168</v>
      </c>
      <c r="E4" s="10" t="s">
        <v>2</v>
      </c>
      <c r="F4" t="s">
        <v>3</v>
      </c>
      <c r="G4" t="s">
        <v>4</v>
      </c>
      <c r="H4" t="s">
        <v>5</v>
      </c>
      <c r="I4" t="s">
        <v>6</v>
      </c>
      <c r="J4" s="10" t="s">
        <v>7</v>
      </c>
    </row>
    <row r="5" spans="1:10" x14ac:dyDescent="0.35">
      <c r="A5" s="2" t="s">
        <v>169</v>
      </c>
      <c r="B5" s="122">
        <v>0.4</v>
      </c>
      <c r="C5" s="46">
        <v>120</v>
      </c>
      <c r="D5" s="122">
        <v>0.12</v>
      </c>
      <c r="E5" s="127">
        <f>D5/B5</f>
        <v>0.3</v>
      </c>
      <c r="F5" s="32">
        <v>120</v>
      </c>
      <c r="G5" s="125">
        <f>IF(OR(B5="",D5="",F5=""),"",(D5-B5)/SQRT(((D5+B5)/2)*(1-(D5+B5)/2)*(2/F5)))</f>
        <v>-4.9445995236282227</v>
      </c>
      <c r="H5" s="126">
        <f>IF(G5="","",2*(1-_xlfn.NORM.S.DIST(ABS(G5),TRUE)))</f>
        <v>7.6300554030517276E-7</v>
      </c>
      <c r="I5" s="92" t="str">
        <f>IF(H5="","",IF(H5&lt;0.05,"Yes","No"))</f>
        <v>Yes</v>
      </c>
      <c r="J5" s="4"/>
    </row>
    <row r="6" spans="1:10" x14ac:dyDescent="0.35">
      <c r="A6" s="2" t="s">
        <v>170</v>
      </c>
      <c r="B6" s="122">
        <v>0.3</v>
      </c>
      <c r="C6" s="46">
        <v>450</v>
      </c>
      <c r="D6" s="122">
        <v>0.45</v>
      </c>
      <c r="E6" s="127">
        <f>D6/B6</f>
        <v>1.5</v>
      </c>
      <c r="F6" s="32">
        <v>450</v>
      </c>
      <c r="G6" s="125">
        <f t="shared" ref="G6:G9" si="0">IF(OR(B6="",D6="",F6=""),"",(D6-B6)/SQRT(((D6+B6)/2)*(1-(D6+B6)/2)*(2/F6)))</f>
        <v>4.6475800154489013</v>
      </c>
      <c r="H6" s="126">
        <f t="shared" ref="H6:H9" si="1">IF(G6="","",2*(1-_xlfn.NORM.S.DIST(ABS(G6),TRUE)))</f>
        <v>3.358518329221738E-6</v>
      </c>
      <c r="I6" s="92" t="str">
        <f>IF(H6="","",IF(H6&lt;0.05,"Yes","No"))</f>
        <v>Yes</v>
      </c>
      <c r="J6" s="4"/>
    </row>
    <row r="7" spans="1:10" x14ac:dyDescent="0.35">
      <c r="A7" s="2" t="s">
        <v>171</v>
      </c>
      <c r="B7" s="122">
        <v>0.2</v>
      </c>
      <c r="C7" s="46">
        <v>280</v>
      </c>
      <c r="D7" s="122">
        <v>0.28000000000000003</v>
      </c>
      <c r="E7" s="127">
        <f>D7/B7</f>
        <v>1.4000000000000001</v>
      </c>
      <c r="F7" s="32">
        <v>280</v>
      </c>
      <c r="G7" s="125">
        <f t="shared" si="0"/>
        <v>2.216366554014563</v>
      </c>
      <c r="H7" s="126">
        <f t="shared" si="1"/>
        <v>2.6666408353530846E-2</v>
      </c>
      <c r="I7" s="92" t="str">
        <f>IF(H7="","",IF(H7&lt;0.05,"Yes","No"))</f>
        <v>Yes</v>
      </c>
      <c r="J7" s="4"/>
    </row>
    <row r="8" spans="1:10" x14ac:dyDescent="0.35">
      <c r="A8" s="2" t="s">
        <v>172</v>
      </c>
      <c r="B8" s="122">
        <v>0.08</v>
      </c>
      <c r="C8" s="46">
        <v>130</v>
      </c>
      <c r="D8" s="122">
        <v>0.13</v>
      </c>
      <c r="E8" s="127">
        <f>D8/B8</f>
        <v>1.625</v>
      </c>
      <c r="F8" s="32">
        <v>130</v>
      </c>
      <c r="G8" s="125">
        <f t="shared" si="0"/>
        <v>1.3149841418926325</v>
      </c>
      <c r="H8" s="126">
        <f t="shared" si="1"/>
        <v>0.18851523213620247</v>
      </c>
      <c r="I8" s="92" t="str">
        <f>IF(H8="","",IF(H8&lt;0.05,"Yes","No"))</f>
        <v>No</v>
      </c>
      <c r="J8" s="4"/>
    </row>
    <row r="9" spans="1:10" x14ac:dyDescent="0.35">
      <c r="A9" s="2" t="s">
        <v>173</v>
      </c>
      <c r="B9" s="122">
        <v>0.02</v>
      </c>
      <c r="C9" s="46">
        <v>20</v>
      </c>
      <c r="D9" s="122">
        <v>0.02</v>
      </c>
      <c r="E9" s="127">
        <f>D9/B9</f>
        <v>1</v>
      </c>
      <c r="F9" s="32">
        <v>20</v>
      </c>
      <c r="G9" s="125">
        <f t="shared" si="0"/>
        <v>0</v>
      </c>
      <c r="H9" s="126">
        <f t="shared" si="1"/>
        <v>1</v>
      </c>
      <c r="I9" s="92" t="str">
        <f>IF(H9="","",IF(H9&lt;0.05,"Yes","No"))</f>
        <v>No</v>
      </c>
      <c r="J9" s="4"/>
    </row>
    <row r="10" spans="1:10" x14ac:dyDescent="0.35">
      <c r="A10" s="2" t="s">
        <v>15</v>
      </c>
      <c r="B10" s="123">
        <f>SUM(B5:B9)</f>
        <v>0.99999999999999989</v>
      </c>
      <c r="C10" s="124">
        <f>SUM(C5:C9)</f>
        <v>1000</v>
      </c>
      <c r="D10" s="123">
        <f>SUM(D5:D9)</f>
        <v>1</v>
      </c>
      <c r="E10" s="2"/>
      <c r="J10" s="2"/>
    </row>
    <row r="12" spans="1:10" x14ac:dyDescent="0.35">
      <c r="A12" s="13" t="s">
        <v>174</v>
      </c>
    </row>
    <row r="13" spans="1:10" x14ac:dyDescent="0.35">
      <c r="A13" s="96" t="s">
        <v>175</v>
      </c>
      <c r="B13" s="96"/>
      <c r="C13" s="96"/>
      <c r="D13" s="96"/>
      <c r="E13" s="96"/>
      <c r="F13" s="96"/>
    </row>
    <row r="14" spans="1:10" x14ac:dyDescent="0.35">
      <c r="A14" s="96" t="s">
        <v>176</v>
      </c>
      <c r="B14" s="96"/>
      <c r="C14" s="96"/>
      <c r="D14" s="96"/>
      <c r="E14" s="96"/>
      <c r="F14" s="96"/>
    </row>
    <row r="15" spans="1:10" x14ac:dyDescent="0.35">
      <c r="A15" s="96" t="s">
        <v>177</v>
      </c>
      <c r="B15" s="96"/>
      <c r="C15" s="96"/>
      <c r="D15" s="96"/>
      <c r="E15" s="96"/>
      <c r="F15" s="96"/>
    </row>
    <row r="16" spans="1:10" x14ac:dyDescent="0.35">
      <c r="A16" s="96" t="s">
        <v>178</v>
      </c>
      <c r="B16" s="96"/>
      <c r="C16" s="96"/>
      <c r="D16" s="96"/>
      <c r="E16" s="96"/>
      <c r="F16" s="96"/>
    </row>
    <row r="18" spans="1:6" x14ac:dyDescent="0.35">
      <c r="A18" s="13" t="s">
        <v>179</v>
      </c>
    </row>
    <row r="19" spans="1:6" x14ac:dyDescent="0.35">
      <c r="A19" s="96" t="s">
        <v>180</v>
      </c>
      <c r="B19" s="96"/>
      <c r="C19" s="96"/>
      <c r="D19" s="96"/>
      <c r="E19" s="96"/>
      <c r="F19" s="96"/>
    </row>
    <row r="20" spans="1:6" x14ac:dyDescent="0.35">
      <c r="A20" s="96" t="s">
        <v>181</v>
      </c>
      <c r="B20" s="96"/>
      <c r="C20" s="96"/>
      <c r="D20" s="96"/>
      <c r="E20" s="96"/>
      <c r="F20" s="96"/>
    </row>
    <row r="21" spans="1:6" x14ac:dyDescent="0.35">
      <c r="A21" s="96" t="s">
        <v>182</v>
      </c>
      <c r="B21" s="96"/>
      <c r="C21" s="96"/>
      <c r="D21" s="96"/>
      <c r="E21" s="96"/>
      <c r="F21" s="96"/>
    </row>
    <row r="23" spans="1:6" x14ac:dyDescent="0.35">
      <c r="A23" s="13" t="s">
        <v>183</v>
      </c>
    </row>
    <row r="24" spans="1:6" x14ac:dyDescent="0.35">
      <c r="A24" s="96" t="s">
        <v>184</v>
      </c>
      <c r="B24" s="96"/>
      <c r="C24" s="96"/>
      <c r="D24" s="96"/>
      <c r="E24" s="96"/>
      <c r="F24" s="96"/>
    </row>
    <row r="25" spans="1:6" x14ac:dyDescent="0.35">
      <c r="A25" s="96" t="s">
        <v>185</v>
      </c>
      <c r="B25" s="96"/>
      <c r="C25" s="96"/>
      <c r="D25" s="96"/>
      <c r="E25" s="96"/>
      <c r="F25" s="96"/>
    </row>
    <row r="26" spans="1:6" x14ac:dyDescent="0.35">
      <c r="A26" s="96" t="s">
        <v>186</v>
      </c>
      <c r="B26" s="96"/>
      <c r="C26" s="96"/>
      <c r="D26" s="96"/>
      <c r="E26" s="96"/>
      <c r="F26" s="96"/>
    </row>
    <row r="27" spans="1:6" x14ac:dyDescent="0.35">
      <c r="A27" s="96" t="s">
        <v>187</v>
      </c>
      <c r="B27" s="96"/>
      <c r="C27" s="96"/>
      <c r="D27" s="96"/>
      <c r="E27" s="96"/>
      <c r="F27" s="96"/>
    </row>
  </sheetData>
  <mergeCells count="12">
    <mergeCell ref="A1:F1"/>
    <mergeCell ref="A27:F27"/>
    <mergeCell ref="A26:F26"/>
    <mergeCell ref="A21:F21"/>
    <mergeCell ref="A20:F20"/>
    <mergeCell ref="A15:F15"/>
    <mergeCell ref="A25:F25"/>
    <mergeCell ref="A24:F24"/>
    <mergeCell ref="A16:F16"/>
    <mergeCell ref="A13:F13"/>
    <mergeCell ref="A14:F14"/>
    <mergeCell ref="A19:F1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B10" sqref="B10"/>
    </sheetView>
  </sheetViews>
  <sheetFormatPr defaultRowHeight="14.5" x14ac:dyDescent="0.35"/>
  <sheetData>
    <row r="1" spans="1:1" x14ac:dyDescent="0.35">
      <c r="A1" t="s">
        <v>188</v>
      </c>
    </row>
    <row r="2" spans="1:1" x14ac:dyDescent="0.35">
      <c r="A2" t="s">
        <v>189</v>
      </c>
    </row>
    <row r="3" spans="1:1" x14ac:dyDescent="0.35">
      <c r="A3" s="14" t="s">
        <v>190</v>
      </c>
    </row>
  </sheetData>
  <hyperlinks>
    <hyperlink ref="A3" r:id="rId1" xr:uid="{00000000-0004-0000-0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Calculator with ROI</vt:lpstr>
      <vt:lpstr>Quick 30-Min Audit</vt:lpstr>
      <vt:lpstr>Full Framework Tracker</vt:lpstr>
      <vt:lpstr>Revenue Impact Calculator</vt:lpstr>
      <vt:lpstr>Bias Pattern Log</vt:lpstr>
      <vt:lpstr>Example Data</vt:lpstr>
      <vt:lpstr>Instructions Link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Consorte, Dennis</cp:lastModifiedBy>
  <dcterms:created xsi:type="dcterms:W3CDTF">2025-10-25T21:59:03Z</dcterms:created>
  <dcterms:modified xsi:type="dcterms:W3CDTF">2025-11-09T03:31:20Z</dcterms:modified>
</cp:coreProperties>
</file>